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779" activeTab="0"/>
  </bookViews>
  <sheets>
    <sheet name="implog" sheetId="1" r:id="rId1"/>
    <sheet name="impsaw" sheetId="2" r:id="rId2"/>
    <sheet name="impven" sheetId="3" r:id="rId3"/>
    <sheet name="impply" sheetId="4" r:id="rId4"/>
    <sheet name="exlog" sheetId="5" r:id="rId5"/>
    <sheet name="exsaw" sheetId="6" r:id="rId6"/>
    <sheet name="exven" sheetId="7" r:id="rId7"/>
    <sheet name="exply" sheetId="8" r:id="rId8"/>
  </sheets>
  <definedNames>
    <definedName name="HTML_CodePage" hidden="1">932</definedName>
    <definedName name="HTML_Control" hidden="1">{"'impsaw'!$A$1:$G$189"}</definedName>
    <definedName name="HTML_Description" hidden="1">""</definedName>
    <definedName name="HTML_Email" hidden="1">""</definedName>
    <definedName name="HTML_Header" hidden="1">""</definedName>
    <definedName name="HTML_LastUpdate" hidden="1">"98/05/25"</definedName>
    <definedName name="HTML_LineAfter" hidden="1">FALSE</definedName>
    <definedName name="HTML_LineBefore" hidden="1">FALSE</definedName>
    <definedName name="HTML_Name" hidden="1">"Preferred Customer"</definedName>
    <definedName name="HTML_OBDlg2" hidden="1">TRUE</definedName>
    <definedName name="HTML_OBDlg4" hidden="1">TRUE</definedName>
    <definedName name="HTML_OS" hidden="1">0</definedName>
    <definedName name="HTML_PathFile" hidden="1">"W:\ITTO\annual_review1997\excel_to_html\DAI\3-1-b.htm"</definedName>
    <definedName name="HTML_Title" hidden="1">"Table 3-1-c. Major Tropical Sawnwood Species Imported by ITTO Members, 1996"</definedName>
    <definedName name="_xlnm.Print_Area" localSheetId="4">'exlog'!$A$1:$I$315</definedName>
    <definedName name="_xlnm.Print_Area" localSheetId="7">'exply'!$A$1:$I$243</definedName>
    <definedName name="_xlnm.Print_Area" localSheetId="5">'exsaw'!$A$1:$I$576</definedName>
    <definedName name="_xlnm.Print_Area" localSheetId="6">'exven'!$A$1:$I$233</definedName>
    <definedName name="_xlnm.Print_Area" localSheetId="0">'implog'!$A$1:$I$303</definedName>
    <definedName name="_xlnm.Print_Area" localSheetId="1">'impsaw'!$A$1:$I$451</definedName>
    <definedName name="_xlnm.Print_Area" localSheetId="2">'impven'!$A$1:$I$254</definedName>
    <definedName name="_xlnm.Print_Titles" localSheetId="4">'exlog'!$1:$4</definedName>
    <definedName name="_xlnm.Print_Titles" localSheetId="7">'exply'!$1:$4</definedName>
    <definedName name="_xlnm.Print_Titles" localSheetId="5">'exsaw'!$1:$4</definedName>
    <definedName name="_xlnm.Print_Titles" localSheetId="6">'exven'!$1:$4</definedName>
    <definedName name="_xlnm.Print_Titles" localSheetId="0">'implog'!$1:$4</definedName>
    <definedName name="_xlnm.Print_Titles" localSheetId="3">'impply'!$1:$4</definedName>
    <definedName name="_xlnm.Print_Titles" localSheetId="1">'impsaw'!$1:$4</definedName>
    <definedName name="_xlnm.Print_Titles" localSheetId="2">'impven'!$1:$4</definedName>
  </definedNames>
  <calcPr calcMode="autoNoTable" fullCalcOnLoad="1"/>
</workbook>
</file>

<file path=xl/comments1.xml><?xml version="1.0" encoding="utf-8"?>
<comments xmlns="http://schemas.openxmlformats.org/spreadsheetml/2006/main">
  <authors>
    <author>ITTO</author>
  </authors>
  <commentList>
    <comment ref="D289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Robert Fenton mentions that this should be cigar-box cedar. (8-Aug-05) - However, according to CONABIO this is okay.</t>
        </r>
      </text>
    </comment>
    <comment ref="D293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Robert Fenton mentions that this should be cigar-box cedar. (8-Aug-05) - However, according to CONABIO this is okay.</t>
        </r>
      </text>
    </comment>
  </commentList>
</comments>
</file>

<file path=xl/comments2.xml><?xml version="1.0" encoding="utf-8"?>
<comments xmlns="http://schemas.openxmlformats.org/spreadsheetml/2006/main">
  <authors>
    <author>ITTO</author>
  </authors>
  <commentList>
    <comment ref="H443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(22-Apr-05)</t>
        </r>
      </text>
    </comment>
    <comment ref="H444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(22-Apr-05)</t>
        </r>
      </text>
    </comment>
    <comment ref="H445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(22-Apr-05)</t>
        </r>
      </text>
    </comment>
    <comment ref="H446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(22-Apr-05)</t>
        </r>
      </text>
    </comment>
    <comment ref="D190" authorId="0">
      <text>
        <r>
          <rPr>
            <b/>
            <sz val="8"/>
            <rFont val="Tahoma"/>
            <family val="0"/>
          </rPr>
          <t xml:space="preserve">Japan reports 'balsa' - adjusted to cedar as balsa is not cedrela spp. (27-Oct-05) </t>
        </r>
        <r>
          <rPr>
            <sz val="8"/>
            <rFont val="Tahoma"/>
            <family val="0"/>
          </rPr>
          <t xml:space="preserve">
</t>
        </r>
      </text>
    </comment>
    <comment ref="D213" authorId="0">
      <text>
        <r>
          <rPr>
            <b/>
            <sz val="8"/>
            <rFont val="Tahoma"/>
            <family val="0"/>
          </rPr>
          <t xml:space="preserve">Japan reports 'balsa' - adjusted to cedar as balsa is not cedrela spp. (27-Oct-05) </t>
        </r>
        <r>
          <rPr>
            <sz val="8"/>
            <rFont val="Tahoma"/>
            <family val="0"/>
          </rPr>
          <t xml:space="preserve">
</t>
        </r>
      </text>
    </comment>
    <comment ref="H448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(27-Oct-05)</t>
        </r>
      </text>
    </comment>
    <comment ref="H449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(27-Oct-05)</t>
        </r>
      </text>
    </comment>
    <comment ref="H450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(27-Oct-05)</t>
        </r>
      </text>
    </comment>
    <comment ref="H451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 Adjusted due to unit value problem and ITTO2 did not coincide with JQ2 (27-Oct-05)</t>
        </r>
      </text>
    </comment>
  </commentList>
</comments>
</file>

<file path=xl/comments3.xml><?xml version="1.0" encoding="utf-8"?>
<comments xmlns="http://schemas.openxmlformats.org/spreadsheetml/2006/main">
  <authors>
    <author>ITTO</author>
  </authors>
  <commentList>
    <comment ref="F187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Adjusted due to difference between TC total and ITTO2 total.  ITTO2 possibly in m2 (27-Apr-05)
</t>
        </r>
      </text>
    </comment>
    <comment ref="F190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Adjusted due to difference between TC total and ITTO2 total.  ITTO2 possibly in m2 (27-Apr-05)
</t>
        </r>
      </text>
    </comment>
  </commentList>
</comments>
</file>

<file path=xl/comments5.xml><?xml version="1.0" encoding="utf-8"?>
<comments xmlns="http://schemas.openxmlformats.org/spreadsheetml/2006/main">
  <authors>
    <author>ITTO</author>
  </authors>
  <commentList>
    <comment ref="I17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CAR reported a different total value after submitting the initial info.  Therefore these are proportional values.</t>
        </r>
      </text>
    </comment>
    <comment ref="H17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CAR reported a different total value after submitting the initial info.  Therefore these are proportional values.</t>
        </r>
      </text>
    </comment>
    <comment ref="D176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Robert Fenton mentions that this should be cigar-box cedar. (8-Aug-05) - However, according to CONABIO this is okay.</t>
        </r>
      </text>
    </comment>
    <comment ref="D181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Robert Fenton mentions that this should be cigar-box cedar. (8-Aug-05) - However, according to CONABIO this is okay.</t>
        </r>
      </text>
    </comment>
  </commentList>
</comments>
</file>

<file path=xl/comments6.xml><?xml version="1.0" encoding="utf-8"?>
<comments xmlns="http://schemas.openxmlformats.org/spreadsheetml/2006/main">
  <authors>
    <author>ITTO</author>
  </authors>
  <commentList>
    <comment ref="I16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CAR reported a different total value after submitting the initial info.  Therefore these are proportional values.</t>
        </r>
      </text>
    </comment>
    <comment ref="H16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CAR reported a different total value after submitting the initial info.  Therefore these are proportional values.</t>
        </r>
      </text>
    </comment>
  </commentList>
</comments>
</file>

<file path=xl/comments7.xml><?xml version="1.0" encoding="utf-8"?>
<comments xmlns="http://schemas.openxmlformats.org/spreadsheetml/2006/main">
  <authors>
    <author>ITTO</author>
  </authors>
  <commentList>
    <comment ref="F233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Adjusted due to difference between TC total and ITTO2 total.  ITTO2 possibly in m2 (27-Apr-05)
</t>
        </r>
      </text>
    </comment>
    <comment ref="F229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Adjusted due to difference between TC total and ITTO2 total.  ITTO2 possibly in m2 (27-Apr-05)
</t>
        </r>
      </text>
    </comment>
    <comment ref="F230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Adjusted due to difference between TC total and ITTO2 total.  ITTO2 possibly in m2 (27-Apr-05)
</t>
        </r>
      </text>
    </comment>
    <comment ref="F232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Adjusted due to difference between TC total and ITTO2 total.  ITTO2 possibly in m2 (27-Apr-05)
</t>
        </r>
      </text>
    </comment>
  </commentList>
</comments>
</file>

<file path=xl/comments8.xml><?xml version="1.0" encoding="utf-8"?>
<comments xmlns="http://schemas.openxmlformats.org/spreadsheetml/2006/main">
  <authors>
    <author>ITTO</author>
  </authors>
  <commentList>
    <comment ref="I14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CAR reported a different total value after submitting the initial info.  Therefore these are proportional values.</t>
        </r>
      </text>
    </comment>
    <comment ref="H14" authorId="0">
      <text>
        <r>
          <rPr>
            <b/>
            <sz val="8"/>
            <rFont val="Tahoma"/>
            <family val="0"/>
          </rPr>
          <t>ITTO:</t>
        </r>
        <r>
          <rPr>
            <sz val="8"/>
            <rFont val="Tahoma"/>
            <family val="0"/>
          </rPr>
          <t xml:space="preserve">
CAR reported a different total value after submitting the initial info.  Therefore these are proportional values.</t>
        </r>
      </text>
    </comment>
  </commentList>
</comments>
</file>

<file path=xl/sharedStrings.xml><?xml version="1.0" encoding="utf-8"?>
<sst xmlns="http://schemas.openxmlformats.org/spreadsheetml/2006/main" count="6702" uniqueCount="745">
  <si>
    <t>Country</t>
  </si>
  <si>
    <t>Volume</t>
  </si>
  <si>
    <t>Avg. Price</t>
  </si>
  <si>
    <t>Entandrophragma cylindricum</t>
  </si>
  <si>
    <t>Triplochiton scleroxylon</t>
  </si>
  <si>
    <t>Tectona grandis</t>
  </si>
  <si>
    <t>Aucoumea klaineana</t>
  </si>
  <si>
    <t>Terminalia superba</t>
  </si>
  <si>
    <t>Khaya ivorensis</t>
  </si>
  <si>
    <t>Entandrophragma utile</t>
  </si>
  <si>
    <t>R</t>
  </si>
  <si>
    <t>Pycnanthus angolensis</t>
  </si>
  <si>
    <t>Dactylocladus stenostachys</t>
  </si>
  <si>
    <t>Japan</t>
  </si>
  <si>
    <t>Shorea rugosa</t>
  </si>
  <si>
    <t>Shorea albida</t>
  </si>
  <si>
    <t>Antiaris africana</t>
  </si>
  <si>
    <t>Cameroon</t>
  </si>
  <si>
    <t>Chlorophora excelsa</t>
  </si>
  <si>
    <t>Ceiba pentandra</t>
  </si>
  <si>
    <t>Pterygota macrocarpa</t>
  </si>
  <si>
    <t>Ghana</t>
  </si>
  <si>
    <t>Ocotea rodiaei</t>
  </si>
  <si>
    <t>Swietenia macrophylla</t>
  </si>
  <si>
    <t>Philippines</t>
  </si>
  <si>
    <t>Ochroma lagopus</t>
  </si>
  <si>
    <t>Aningeria altissima</t>
  </si>
  <si>
    <t>Bolivia</t>
  </si>
  <si>
    <t>HS Code</t>
  </si>
  <si>
    <t>Latin Name or</t>
  </si>
  <si>
    <t>EU</t>
  </si>
  <si>
    <t>Year</t>
  </si>
  <si>
    <t>Pilot Name / Local Name</t>
  </si>
  <si>
    <t>Table 3-1-a. Major Tropical Log Species Imported by ITTO Members</t>
  </si>
  <si>
    <t>Table 3-1-b. Major Tropical Sawnwood Species Imported by ITTO Members</t>
  </si>
  <si>
    <t>Table 3-1-c. Major Tropical Veneer Species Imported by ITTO Members</t>
  </si>
  <si>
    <t>Table 3-1-d. Major Tropical Plywood Species Imported by ITTO Members</t>
  </si>
  <si>
    <t>Table 3-2-a. Major Tropical Log Species Exported by ITTO Members</t>
  </si>
  <si>
    <t>Table 3-2-b. Major Tropical Sawnwood Species Exported by ITTO Members</t>
  </si>
  <si>
    <t>Table 3-2-c. Major Tropical Veneer Species Exported by ITTO Members</t>
  </si>
  <si>
    <t>Table 3-2-d. Major Tropical Plywood Species Exported by ITTO Members</t>
  </si>
  <si>
    <t>Pilot Name/Local Name</t>
  </si>
  <si>
    <t>(see accompanying notes)</t>
  </si>
  <si>
    <t>Mansonia altissima</t>
  </si>
  <si>
    <t>4408.31.90</t>
  </si>
  <si>
    <t>4408.39.90</t>
  </si>
  <si>
    <t>4408.39.10</t>
  </si>
  <si>
    <t>Phoebe porosa</t>
  </si>
  <si>
    <t>Adina cordifolia</t>
  </si>
  <si>
    <t>Pterocarpus macrocarpus</t>
  </si>
  <si>
    <t>4412.22.00</t>
  </si>
  <si>
    <t>Millettia pendula</t>
  </si>
  <si>
    <t>Hopea odorata</t>
  </si>
  <si>
    <t>Dalbergia oliveri</t>
  </si>
  <si>
    <t>Pentacme siamensis</t>
  </si>
  <si>
    <t>Norway</t>
  </si>
  <si>
    <t>4403.41.00</t>
  </si>
  <si>
    <t>4403.49.00</t>
  </si>
  <si>
    <t>4407.24.00</t>
  </si>
  <si>
    <t>4407.25.00</t>
  </si>
  <si>
    <t>4407.29.00</t>
  </si>
  <si>
    <t>4408.31.10</t>
  </si>
  <si>
    <t>4412.13.01</t>
  </si>
  <si>
    <t>4412.13.09</t>
  </si>
  <si>
    <t>Shorea negrosensis</t>
  </si>
  <si>
    <t>Lophira alata</t>
  </si>
  <si>
    <t>Baillonella toxisperma</t>
  </si>
  <si>
    <t>Trinidad &amp; Tobago</t>
  </si>
  <si>
    <t>Terminalia tomentosa</t>
  </si>
  <si>
    <t>Xylia dolabriformis</t>
  </si>
  <si>
    <t>Michelia champaca</t>
  </si>
  <si>
    <t>--</t>
  </si>
  <si>
    <t>Goupia glabra</t>
  </si>
  <si>
    <t>Aningeria robusta</t>
  </si>
  <si>
    <t>Gmelina arborea</t>
  </si>
  <si>
    <t>Distemonanthus benthamianus</t>
  </si>
  <si>
    <t>Nauclea diderrichii</t>
  </si>
  <si>
    <t>Rep. of Korea</t>
  </si>
  <si>
    <t>Netherlands</t>
  </si>
  <si>
    <t>Paraserianthes falcataria</t>
  </si>
  <si>
    <t>4407.25.00.00</t>
  </si>
  <si>
    <t>4407.26.00.00</t>
  </si>
  <si>
    <t>4408.31.10.00</t>
  </si>
  <si>
    <t>Finland</t>
  </si>
  <si>
    <t>4412.13.10</t>
  </si>
  <si>
    <t>Tabebuia serratifolia</t>
  </si>
  <si>
    <t>Ocotea rubra</t>
  </si>
  <si>
    <t>France</t>
  </si>
  <si>
    <t>Denmark</t>
  </si>
  <si>
    <t>Anisoptera scaphula</t>
  </si>
  <si>
    <t>Entandrophragma candollei</t>
  </si>
  <si>
    <r>
      <t>1000 m</t>
    </r>
    <r>
      <rPr>
        <vertAlign val="superscript"/>
        <sz val="10"/>
        <rFont val="Times New Roman"/>
        <family val="1"/>
      </rPr>
      <t>3</t>
    </r>
  </si>
  <si>
    <r>
      <t>$/m</t>
    </r>
    <r>
      <rPr>
        <vertAlign val="superscript"/>
        <sz val="10"/>
        <rFont val="Times New Roman"/>
        <family val="1"/>
      </rPr>
      <t>3</t>
    </r>
  </si>
  <si>
    <t>Venezuela</t>
  </si>
  <si>
    <t>Indonesia</t>
  </si>
  <si>
    <t>4403.49.10.0</t>
  </si>
  <si>
    <t>4403.49.90.0</t>
  </si>
  <si>
    <t>4407.24.20.0</t>
  </si>
  <si>
    <t>4407.26.19.0</t>
  </si>
  <si>
    <t>4407.26.99.0</t>
  </si>
  <si>
    <t>4407.29.11.0</t>
  </si>
  <si>
    <t>4407.29.12.0</t>
  </si>
  <si>
    <t>4407.29.13.0</t>
  </si>
  <si>
    <t>4407.29.19.0</t>
  </si>
  <si>
    <t>4407.29.29.0</t>
  </si>
  <si>
    <t>4407.29.31.0</t>
  </si>
  <si>
    <t>4407.29.39.0</t>
  </si>
  <si>
    <t>4407.29.91.0</t>
  </si>
  <si>
    <t>4407.29.92.0</t>
  </si>
  <si>
    <t>4407.29.99.0</t>
  </si>
  <si>
    <t>4407.99.11.0</t>
  </si>
  <si>
    <t>4407.99.12.0</t>
  </si>
  <si>
    <t>4407.99.13.0</t>
  </si>
  <si>
    <t>4407.99.14.0</t>
  </si>
  <si>
    <t>4407.99.15.0</t>
  </si>
  <si>
    <t>4407.99.19.0</t>
  </si>
  <si>
    <t>4407.99.23.0</t>
  </si>
  <si>
    <t>4407.99.32.0</t>
  </si>
  <si>
    <t>4407.99.39.0</t>
  </si>
  <si>
    <t>4407.99.91.4</t>
  </si>
  <si>
    <t>4407.99.91.9</t>
  </si>
  <si>
    <t>4407.99.99.1</t>
  </si>
  <si>
    <t>4407.99.99.9</t>
  </si>
  <si>
    <t>4407.24.90.0</t>
  </si>
  <si>
    <t>4407.26.11.0</t>
  </si>
  <si>
    <t>4407.29.23.0</t>
  </si>
  <si>
    <t>4407.29.33.0</t>
  </si>
  <si>
    <t>4407.29.93.0</t>
  </si>
  <si>
    <t>4407.99.29.0</t>
  </si>
  <si>
    <t>4407.99.31.0</t>
  </si>
  <si>
    <t>4407.99.99.4</t>
  </si>
  <si>
    <t>4408.31.90.0</t>
  </si>
  <si>
    <t>4408.39.90.0</t>
  </si>
  <si>
    <t>4408.90.10.0</t>
  </si>
  <si>
    <t>4408.90.90.0</t>
  </si>
  <si>
    <t>4412.13.00.0</t>
  </si>
  <si>
    <t>4412.14.00.0</t>
  </si>
  <si>
    <t>4412.22.00.0</t>
  </si>
  <si>
    <t>4412.23.00.0</t>
  </si>
  <si>
    <t>4403.41.10.0</t>
  </si>
  <si>
    <t>4403.49.30.0</t>
  </si>
  <si>
    <t>4403.49.50.0</t>
  </si>
  <si>
    <t>4407.24.10.0</t>
  </si>
  <si>
    <t>4407.25.10.0</t>
  </si>
  <si>
    <t>4407.25.20.0</t>
  </si>
  <si>
    <t>4407.25.30.0</t>
  </si>
  <si>
    <t>4407.25.90.0</t>
  </si>
  <si>
    <t>4407.26.21.0</t>
  </si>
  <si>
    <t>4407.26.39.0</t>
  </si>
  <si>
    <t>4407.26.91.0</t>
  </si>
  <si>
    <t>4407.29.21.0</t>
  </si>
  <si>
    <t>4407.29.32.0</t>
  </si>
  <si>
    <t>4407.99.24.0</t>
  </si>
  <si>
    <t>4407.99.91.3</t>
  </si>
  <si>
    <t>4407.99.91.5</t>
  </si>
  <si>
    <t>4407.99.99.3</t>
  </si>
  <si>
    <t>4407.24.30.0</t>
  </si>
  <si>
    <t>4407.26.31.0</t>
  </si>
  <si>
    <t>4407.99.91.2</t>
  </si>
  <si>
    <t>4407.99.99.5</t>
  </si>
  <si>
    <t>4408.31.10.0</t>
  </si>
  <si>
    <t>4408.39.10.0</t>
  </si>
  <si>
    <t>4408.39.90.10</t>
  </si>
  <si>
    <t>4408.39.90.90</t>
  </si>
  <si>
    <t>4412.13.10.00</t>
  </si>
  <si>
    <t>USA</t>
  </si>
  <si>
    <t>4412.13.00.02</t>
  </si>
  <si>
    <t>4408.90.99</t>
  </si>
  <si>
    <t>4408.90.10.29</t>
  </si>
  <si>
    <t>4412.13.90.12</t>
  </si>
  <si>
    <t>4412.14.00.19</t>
  </si>
  <si>
    <t>4412.22.90.10</t>
  </si>
  <si>
    <t>4412.22.90.90</t>
  </si>
  <si>
    <t>4412.29.00.10</t>
  </si>
  <si>
    <t>4412.13.00</t>
  </si>
  <si>
    <t>4412.14.90</t>
  </si>
  <si>
    <t>4412.23.00</t>
  </si>
  <si>
    <t>Pericopsis elata</t>
  </si>
  <si>
    <t>Gossweilerodendron balsamiferum</t>
  </si>
  <si>
    <t>Calophyllum brasiliense</t>
  </si>
  <si>
    <t>W</t>
  </si>
  <si>
    <t>WR</t>
  </si>
  <si>
    <t>Peru</t>
  </si>
  <si>
    <t>Tetraberlinia bifoliolata</t>
  </si>
  <si>
    <t>Millicia excelsa</t>
  </si>
  <si>
    <t>Erythrophleum ivorense</t>
  </si>
  <si>
    <t>Congo, Rep.</t>
  </si>
  <si>
    <t>Staudtia stipitata</t>
  </si>
  <si>
    <t>Guarea cedrata</t>
  </si>
  <si>
    <t>Dacryodes pubescens</t>
  </si>
  <si>
    <t>Tieghemella africana</t>
  </si>
  <si>
    <t>Testulea gabonensis</t>
  </si>
  <si>
    <t>Gabon</t>
  </si>
  <si>
    <t>Lovoa trichilioides</t>
  </si>
  <si>
    <t>Entandrophragma angolense</t>
  </si>
  <si>
    <t>Celtis mildbraedii/zenkeri</t>
  </si>
  <si>
    <t>4403.49.20.0</t>
  </si>
  <si>
    <t>4407.99.99.2</t>
  </si>
  <si>
    <t>Myanmar</t>
  </si>
  <si>
    <t>Swintonia floribunda</t>
  </si>
  <si>
    <t>Dipterocarpus alatus</t>
  </si>
  <si>
    <t>Parashorea stellata</t>
  </si>
  <si>
    <t>Melanorrhoea usitata</t>
  </si>
  <si>
    <t>Astronium urundeuva</t>
  </si>
  <si>
    <t>Machaerium scleroxylon</t>
  </si>
  <si>
    <t>Amburana cearensis</t>
  </si>
  <si>
    <t>Tipuana tipu</t>
  </si>
  <si>
    <t>Cedrela fissilis</t>
  </si>
  <si>
    <t>Cordia alliodora</t>
  </si>
  <si>
    <t>Cunuria spruceana</t>
  </si>
  <si>
    <t>Coumarouna odorata</t>
  </si>
  <si>
    <t>Clarisia biflora</t>
  </si>
  <si>
    <t>Bowdichia virgilioides</t>
  </si>
  <si>
    <t>Platymiscium polystachyum</t>
  </si>
  <si>
    <t>44.03.49.00.00</t>
  </si>
  <si>
    <t>44.03.41.00.00</t>
  </si>
  <si>
    <t>44.07.24.00.25</t>
  </si>
  <si>
    <t>44.07.29.00.90</t>
  </si>
  <si>
    <t>44.07.29.00.95</t>
  </si>
  <si>
    <t>44.07.25.00.00</t>
  </si>
  <si>
    <t>44.07.24.00.90</t>
  </si>
  <si>
    <t>44.07.24.00.30</t>
  </si>
  <si>
    <t>44.07.29.00.30</t>
  </si>
  <si>
    <t>44.07.24.00.95</t>
  </si>
  <si>
    <t>44.07.29.00.25</t>
  </si>
  <si>
    <t>44.07.24.00.10</t>
  </si>
  <si>
    <t>44.07.29.00.10</t>
  </si>
  <si>
    <t>44.07.26.00.00</t>
  </si>
  <si>
    <t>44.07.24.00.05</t>
  </si>
  <si>
    <t>44.08.31.0100</t>
  </si>
  <si>
    <t>44.08.39.0100</t>
  </si>
  <si>
    <t>44.12.13.05.20</t>
  </si>
  <si>
    <t>44.12.13.40.40</t>
  </si>
  <si>
    <t>44.12.13.40.50</t>
  </si>
  <si>
    <t>44.12.13.40.60</t>
  </si>
  <si>
    <t>44.12.13.40.70</t>
  </si>
  <si>
    <t>44.12.13.51.30</t>
  </si>
  <si>
    <t>44.12.13.51.50</t>
  </si>
  <si>
    <t>44.12.13.51.60</t>
  </si>
  <si>
    <t>44.12.13.51.70</t>
  </si>
  <si>
    <t>44.12.13.60.00</t>
  </si>
  <si>
    <t>44.12.14.31.40</t>
  </si>
  <si>
    <t>44.12.22.31.40</t>
  </si>
  <si>
    <t>44.12.22.31.50</t>
  </si>
  <si>
    <t>44.12.22.31.60</t>
  </si>
  <si>
    <t>44.12.22.31.70</t>
  </si>
  <si>
    <t>44.12.22.41.00</t>
  </si>
  <si>
    <t>44.12.23.01.00</t>
  </si>
  <si>
    <t>44.12.29.36.40</t>
  </si>
  <si>
    <t>44.07.24.00.00</t>
  </si>
  <si>
    <t>44.07.29.00.00</t>
  </si>
  <si>
    <t>Portugal</t>
  </si>
  <si>
    <t>4403.49.00.01</t>
  </si>
  <si>
    <t>4403.49.00.03</t>
  </si>
  <si>
    <t>4403.49.00.05</t>
  </si>
  <si>
    <t>4403.49.00.09</t>
  </si>
  <si>
    <t>New Zealand</t>
  </si>
  <si>
    <t>4407.24.20.00</t>
  </si>
  <si>
    <t>4407.24.90.00</t>
  </si>
  <si>
    <t>4407.26.10.09</t>
  </si>
  <si>
    <t>4407.29.10.09</t>
  </si>
  <si>
    <t>4407.29.90.01</t>
  </si>
  <si>
    <t>4407.29.90.05</t>
  </si>
  <si>
    <t>4407.29.90.09</t>
  </si>
  <si>
    <t>4407.24.10.01</t>
  </si>
  <si>
    <t>4407.24.10.09</t>
  </si>
  <si>
    <t>4408.39.10.09</t>
  </si>
  <si>
    <t>4408.39.90.29</t>
  </si>
  <si>
    <t>4408.90.08.49</t>
  </si>
  <si>
    <t>4408.39.90.01</t>
  </si>
  <si>
    <t>4412.13.10.01</t>
  </si>
  <si>
    <t>4412.13.10.09</t>
  </si>
  <si>
    <t>4412.13.90.01</t>
  </si>
  <si>
    <t>4412.13.90.09</t>
  </si>
  <si>
    <t>4412.22.90.01</t>
  </si>
  <si>
    <t>4412.22.90.09</t>
  </si>
  <si>
    <t>Entrandrophragma cylindricum</t>
  </si>
  <si>
    <t>Priora copaifera</t>
  </si>
  <si>
    <t>Bombacopsis quinata</t>
  </si>
  <si>
    <t>Juglans neotropica</t>
  </si>
  <si>
    <t>Dalbergia nigra</t>
  </si>
  <si>
    <t>Dalbergia spurceana</t>
  </si>
  <si>
    <t>Dalbergia decipularis</t>
  </si>
  <si>
    <t>Shorea albida.</t>
  </si>
  <si>
    <t>* total may include other similar species</t>
  </si>
  <si>
    <t>Suriname</t>
  </si>
  <si>
    <t>Martiodendron parviflorum</t>
  </si>
  <si>
    <t>Vatairea guianensis</t>
  </si>
  <si>
    <t>Tabebuia capitata</t>
  </si>
  <si>
    <t>Peltogyne venosa</t>
  </si>
  <si>
    <t>Hymenaea courbaril</t>
  </si>
  <si>
    <t>Diplotropis purpurea</t>
  </si>
  <si>
    <t>Dyera costulata</t>
  </si>
  <si>
    <t>Thailand</t>
  </si>
  <si>
    <t>Mexico</t>
  </si>
  <si>
    <t>Cedrela odorata</t>
  </si>
  <si>
    <t>4407.24.99</t>
  </si>
  <si>
    <t>4407.29.99</t>
  </si>
  <si>
    <t>4403.99.99</t>
  </si>
  <si>
    <t>4408.39.99</t>
  </si>
  <si>
    <t>4412.13.99</t>
  </si>
  <si>
    <t>4412.23.99</t>
  </si>
  <si>
    <t>4412.29.99</t>
  </si>
  <si>
    <t>Guyana</t>
  </si>
  <si>
    <t>Mora excelsa</t>
  </si>
  <si>
    <t>Values</t>
  </si>
  <si>
    <t>Insert</t>
  </si>
  <si>
    <t>RI</t>
  </si>
  <si>
    <t>Dycorynia guianensis</t>
  </si>
  <si>
    <t>Buchenavia tetraphylla</t>
  </si>
  <si>
    <t>Quelqus agrifolia</t>
  </si>
  <si>
    <t>I</t>
  </si>
  <si>
    <t>alan</t>
  </si>
  <si>
    <t>meranti</t>
  </si>
  <si>
    <t>virola</t>
  </si>
  <si>
    <t>dark red meranti</t>
  </si>
  <si>
    <t>saqui-saqui</t>
  </si>
  <si>
    <t>cedro</t>
  </si>
  <si>
    <t>cativo</t>
  </si>
  <si>
    <t>white meranti</t>
  </si>
  <si>
    <t>iroko</t>
  </si>
  <si>
    <t>afara</t>
  </si>
  <si>
    <t>kokko</t>
  </si>
  <si>
    <t>okoumé</t>
  </si>
  <si>
    <t>yang</t>
  </si>
  <si>
    <t>sapelli</t>
  </si>
  <si>
    <t>african mahogany</t>
  </si>
  <si>
    <t>mahogany</t>
  </si>
  <si>
    <t>mahogany, etc.</t>
  </si>
  <si>
    <t>azobé</t>
  </si>
  <si>
    <t>obeche</t>
  </si>
  <si>
    <t>sapele</t>
  </si>
  <si>
    <t>sipo</t>
  </si>
  <si>
    <t>afrormosia</t>
  </si>
  <si>
    <t>pradoo</t>
  </si>
  <si>
    <t>balsa</t>
  </si>
  <si>
    <t>nogal</t>
  </si>
  <si>
    <t>kapur</t>
  </si>
  <si>
    <t>dibétou</t>
  </si>
  <si>
    <t>tiama</t>
  </si>
  <si>
    <t>jelutong</t>
  </si>
  <si>
    <t>ramin</t>
  </si>
  <si>
    <t>takhian</t>
  </si>
  <si>
    <t>opepe</t>
  </si>
  <si>
    <t>ilomba</t>
  </si>
  <si>
    <t>meranti bakau</t>
  </si>
  <si>
    <t>caracoli</t>
  </si>
  <si>
    <t>red gum</t>
  </si>
  <si>
    <t>acajou d'afrique</t>
  </si>
  <si>
    <t>azobé/ekki-eba</t>
  </si>
  <si>
    <t>african walnut/dibétou</t>
  </si>
  <si>
    <t>mansonia</t>
  </si>
  <si>
    <t>imbuia</t>
  </si>
  <si>
    <t>keruing</t>
  </si>
  <si>
    <t>light red meranti</t>
  </si>
  <si>
    <t>red meranti</t>
  </si>
  <si>
    <t>yellow meranti</t>
  </si>
  <si>
    <t>makoré</t>
  </si>
  <si>
    <t>jongkong</t>
  </si>
  <si>
    <t>merbau</t>
  </si>
  <si>
    <t>kempas</t>
  </si>
  <si>
    <t>asanfina</t>
  </si>
  <si>
    <t>teak</t>
  </si>
  <si>
    <t>cedro rojo</t>
  </si>
  <si>
    <t>greenheart</t>
  </si>
  <si>
    <t>palissandre de rose</t>
  </si>
  <si>
    <t>lauan</t>
  </si>
  <si>
    <t>alcornoque</t>
  </si>
  <si>
    <t>roble</t>
  </si>
  <si>
    <t>encina</t>
  </si>
  <si>
    <t>krabak</t>
  </si>
  <si>
    <t>maka</t>
  </si>
  <si>
    <t>pradu</t>
  </si>
  <si>
    <t>white seraya</t>
  </si>
  <si>
    <t>white lauan</t>
  </si>
  <si>
    <t>limba</t>
  </si>
  <si>
    <t>afara/limba</t>
  </si>
  <si>
    <t>limba blanc</t>
  </si>
  <si>
    <t>palissandre de rio</t>
  </si>
  <si>
    <t>palissandre de para</t>
  </si>
  <si>
    <t>tsuge/boxwood</t>
  </si>
  <si>
    <t>tagayasan, etc.</t>
  </si>
  <si>
    <t>moluccan sau</t>
  </si>
  <si>
    <t>caoba</t>
  </si>
  <si>
    <t>dark/light red meranti</t>
  </si>
  <si>
    <t>caribbean cedar</t>
  </si>
  <si>
    <t>mora</t>
  </si>
  <si>
    <t xml:space="preserve">tanguile </t>
  </si>
  <si>
    <t>lupuna</t>
  </si>
  <si>
    <t>copaiba</t>
  </si>
  <si>
    <t>higuerilla</t>
  </si>
  <si>
    <t>tali</t>
  </si>
  <si>
    <t>kosipo</t>
  </si>
  <si>
    <t>ekaba</t>
  </si>
  <si>
    <t>ayous</t>
  </si>
  <si>
    <t>aningré</t>
  </si>
  <si>
    <t>bossé</t>
  </si>
  <si>
    <t>iroko/kambala</t>
  </si>
  <si>
    <t>niové</t>
  </si>
  <si>
    <t>padouk</t>
  </si>
  <si>
    <t>moabi</t>
  </si>
  <si>
    <t>douka</t>
  </si>
  <si>
    <t>izombé</t>
  </si>
  <si>
    <t>purpleheart</t>
  </si>
  <si>
    <t>kabukalli</t>
  </si>
  <si>
    <t>tatabu</t>
  </si>
  <si>
    <t>darina</t>
  </si>
  <si>
    <t>shibadan</t>
  </si>
  <si>
    <t>in/kanyin</t>
  </si>
  <si>
    <t>pyinkado</t>
  </si>
  <si>
    <t>sagawa</t>
  </si>
  <si>
    <t>taung-thayet</t>
  </si>
  <si>
    <t>kaungmu</t>
  </si>
  <si>
    <t>padauk</t>
  </si>
  <si>
    <t>taukkyan</t>
  </si>
  <si>
    <t>hnaw</t>
  </si>
  <si>
    <t>thingadu</t>
  </si>
  <si>
    <t>thingan</t>
  </si>
  <si>
    <t>thinwin</t>
  </si>
  <si>
    <t>yemane</t>
  </si>
  <si>
    <t>kanyinphu</t>
  </si>
  <si>
    <t>cuchi</t>
  </si>
  <si>
    <t>morado</t>
  </si>
  <si>
    <t>mara</t>
  </si>
  <si>
    <t>basralocus</t>
  </si>
  <si>
    <t>manbarklak</t>
  </si>
  <si>
    <t>gindya-udu</t>
  </si>
  <si>
    <t>makagrin</t>
  </si>
  <si>
    <t>safukala</t>
  </si>
  <si>
    <t>ceiba</t>
  </si>
  <si>
    <t>chenchen</t>
  </si>
  <si>
    <t>essa</t>
  </si>
  <si>
    <t>koto/kyere</t>
  </si>
  <si>
    <t>picana negra</t>
  </si>
  <si>
    <t>tipa</t>
  </si>
  <si>
    <t>loromicuna</t>
  </si>
  <si>
    <t>caupuri</t>
  </si>
  <si>
    <t>cumala</t>
  </si>
  <si>
    <t>serebo</t>
  </si>
  <si>
    <t>palo maría</t>
  </si>
  <si>
    <t>yesquero</t>
  </si>
  <si>
    <t>mapajo</t>
  </si>
  <si>
    <t>ofram</t>
  </si>
  <si>
    <t>Koompassia malaccensis</t>
  </si>
  <si>
    <t>Tieghemella heckelii</t>
  </si>
  <si>
    <t>Afzelia xylocarpa</t>
  </si>
  <si>
    <t>Euxylophora paraensis</t>
  </si>
  <si>
    <t>ayous/obeché</t>
  </si>
  <si>
    <t>limba/fraké</t>
  </si>
  <si>
    <t>acajou/khaya</t>
  </si>
  <si>
    <t>movingui</t>
  </si>
  <si>
    <t>bilinga</t>
  </si>
  <si>
    <t>wawa/obeche</t>
  </si>
  <si>
    <t>odum</t>
  </si>
  <si>
    <t>thitsi</t>
  </si>
  <si>
    <t>ingyin</t>
  </si>
  <si>
    <t>locust</t>
  </si>
  <si>
    <t>determa</t>
  </si>
  <si>
    <t>shihuahuaco</t>
  </si>
  <si>
    <t>gronfolo</t>
  </si>
  <si>
    <t>wana</t>
  </si>
  <si>
    <t>groenhart</t>
  </si>
  <si>
    <t>gele kabbes</t>
  </si>
  <si>
    <r>
      <t>Anisoptera</t>
    </r>
    <r>
      <rPr>
        <sz val="10"/>
        <rFont val="Times New Roman"/>
        <family val="1"/>
      </rPr>
      <t xml:space="preserve"> spp.</t>
    </r>
  </si>
  <si>
    <r>
      <t xml:space="preserve">Dipterocarpus </t>
    </r>
    <r>
      <rPr>
        <sz val="10"/>
        <rFont val="Times New Roman"/>
        <family val="1"/>
      </rPr>
      <t>spp.</t>
    </r>
  </si>
  <si>
    <r>
      <t xml:space="preserve">Pterocarpus </t>
    </r>
    <r>
      <rPr>
        <sz val="10"/>
        <rFont val="Times New Roman"/>
        <family val="1"/>
      </rPr>
      <t>spp.</t>
    </r>
  </si>
  <si>
    <r>
      <t xml:space="preserve">Khaya </t>
    </r>
    <r>
      <rPr>
        <sz val="10"/>
        <rFont val="Times New Roman"/>
        <family val="1"/>
      </rPr>
      <t>spp.</t>
    </r>
  </si>
  <si>
    <r>
      <t xml:space="preserve">Shorea </t>
    </r>
    <r>
      <rPr>
        <sz val="10"/>
        <rFont val="Times New Roman"/>
        <family val="1"/>
      </rPr>
      <t>spp.</t>
    </r>
  </si>
  <si>
    <r>
      <t xml:space="preserve">Cedrela </t>
    </r>
    <r>
      <rPr>
        <sz val="10"/>
        <rFont val="Times New Roman"/>
        <family val="1"/>
      </rPr>
      <t>spp.</t>
    </r>
  </si>
  <si>
    <r>
      <t xml:space="preserve">Dryobalanops </t>
    </r>
    <r>
      <rPr>
        <sz val="10"/>
        <rFont val="Times New Roman"/>
        <family val="1"/>
      </rPr>
      <t>spp.</t>
    </r>
  </si>
  <si>
    <r>
      <t xml:space="preserve">Gonystylus </t>
    </r>
    <r>
      <rPr>
        <sz val="10"/>
        <rFont val="Times New Roman"/>
        <family val="1"/>
      </rPr>
      <t>spp.</t>
    </r>
  </si>
  <si>
    <r>
      <t xml:space="preserve">Hopea </t>
    </r>
    <r>
      <rPr>
        <sz val="10"/>
        <rFont val="Times New Roman"/>
        <family val="1"/>
      </rPr>
      <t>spp.</t>
    </r>
  </si>
  <si>
    <r>
      <t>Khaya</t>
    </r>
    <r>
      <rPr>
        <sz val="10"/>
        <rFont val="Times New Roman"/>
        <family val="1"/>
      </rPr>
      <t xml:space="preserve"> spp.</t>
    </r>
  </si>
  <si>
    <r>
      <t xml:space="preserve">Anacardium </t>
    </r>
    <r>
      <rPr>
        <sz val="10"/>
        <rFont val="Times New Roman"/>
        <family val="1"/>
      </rPr>
      <t>spp.</t>
    </r>
  </si>
  <si>
    <r>
      <t xml:space="preserve">Albizia </t>
    </r>
    <r>
      <rPr>
        <sz val="10"/>
        <rFont val="Times New Roman"/>
        <family val="1"/>
      </rPr>
      <t>spp.</t>
    </r>
  </si>
  <si>
    <r>
      <t xml:space="preserve">Chlorophora </t>
    </r>
    <r>
      <rPr>
        <sz val="10"/>
        <rFont val="Times New Roman"/>
        <family val="1"/>
      </rPr>
      <t>spp.</t>
    </r>
  </si>
  <si>
    <r>
      <t>Hopea</t>
    </r>
    <r>
      <rPr>
        <sz val="10"/>
        <rFont val="Times New Roman"/>
        <family val="1"/>
      </rPr>
      <t xml:space="preserve"> spp.</t>
    </r>
  </si>
  <si>
    <r>
      <t xml:space="preserve">Eucalyptus </t>
    </r>
    <r>
      <rPr>
        <sz val="10"/>
        <rFont val="Times New Roman"/>
        <family val="1"/>
      </rPr>
      <t>spp.</t>
    </r>
  </si>
  <si>
    <r>
      <t xml:space="preserve">Swietenia </t>
    </r>
    <r>
      <rPr>
        <sz val="10"/>
        <rFont val="Times New Roman"/>
        <family val="1"/>
      </rPr>
      <t>spp.</t>
    </r>
  </si>
  <si>
    <r>
      <t xml:space="preserve">Parashorea </t>
    </r>
    <r>
      <rPr>
        <sz val="10"/>
        <rFont val="Times New Roman"/>
        <family val="1"/>
      </rPr>
      <t>spp.,</t>
    </r>
    <r>
      <rPr>
        <i/>
        <sz val="10"/>
        <rFont val="Times New Roman"/>
        <family val="1"/>
      </rPr>
      <t xml:space="preserve"> Pentacme </t>
    </r>
    <r>
      <rPr>
        <sz val="10"/>
        <rFont val="Times New Roman"/>
        <family val="1"/>
      </rPr>
      <t>spp.</t>
    </r>
  </si>
  <si>
    <r>
      <t xml:space="preserve">Copaifera </t>
    </r>
    <r>
      <rPr>
        <sz val="10"/>
        <rFont val="Times New Roman"/>
        <family val="1"/>
      </rPr>
      <t>spp.</t>
    </r>
  </si>
  <si>
    <t>baboen</t>
  </si>
  <si>
    <t>others</t>
  </si>
  <si>
    <t>others (34 species)</t>
  </si>
  <si>
    <t>others (28 species)</t>
  </si>
  <si>
    <t>others (17 species)</t>
  </si>
  <si>
    <t>Diospyros burmanica</t>
  </si>
  <si>
    <t>te</t>
  </si>
  <si>
    <t>others (45 species)</t>
  </si>
  <si>
    <t>dahoma</t>
  </si>
  <si>
    <t>papao/apa</t>
  </si>
  <si>
    <t>Afzelia africana</t>
  </si>
  <si>
    <t>makore</t>
  </si>
  <si>
    <t>others (10 species)</t>
  </si>
  <si>
    <t>black hyedua</t>
  </si>
  <si>
    <t>african walnut</t>
  </si>
  <si>
    <t>Guibourtia ehie</t>
  </si>
  <si>
    <t>Lovoa klaineana</t>
  </si>
  <si>
    <t>Qualea spp.</t>
  </si>
  <si>
    <t>Pradosia spp.</t>
  </si>
  <si>
    <t>kimboto</t>
  </si>
  <si>
    <t>rode lokus</t>
  </si>
  <si>
    <t>bosmahonie</t>
  </si>
  <si>
    <t>kopi</t>
  </si>
  <si>
    <t>Togo</t>
  </si>
  <si>
    <t>Khaya senegalensis</t>
  </si>
  <si>
    <t>Milicia excelsa</t>
  </si>
  <si>
    <t>acajou</t>
  </si>
  <si>
    <t>samba</t>
  </si>
  <si>
    <t>4403.40.00</t>
  </si>
  <si>
    <t>anigré</t>
  </si>
  <si>
    <t>llomba</t>
  </si>
  <si>
    <t>eyong</t>
  </si>
  <si>
    <t>Yellow Sterculia</t>
  </si>
  <si>
    <t>Sterculia rhinopetala</t>
  </si>
  <si>
    <t>lotofa/nkanang</t>
  </si>
  <si>
    <t>fraké</t>
  </si>
  <si>
    <t>Ilomba</t>
  </si>
  <si>
    <t xml:space="preserve">Distemonanthus benthamianus </t>
  </si>
  <si>
    <t>limonaballi</t>
  </si>
  <si>
    <t>suya</t>
  </si>
  <si>
    <t>Pouteria speciosa</t>
  </si>
  <si>
    <t>Chrysophyllum pomiferum</t>
  </si>
  <si>
    <t>tauroniro</t>
  </si>
  <si>
    <t>Humiria balsamifera</t>
  </si>
  <si>
    <t>ozigo</t>
  </si>
  <si>
    <t>Dacryodes buettneri</t>
  </si>
  <si>
    <t>Chlorophora spp.</t>
  </si>
  <si>
    <t>Lophira spp.</t>
  </si>
  <si>
    <t>Spain</t>
  </si>
  <si>
    <t>4412.13.90</t>
  </si>
  <si>
    <t>4403.40</t>
  </si>
  <si>
    <t>4407.20</t>
  </si>
  <si>
    <t>4408.30</t>
  </si>
  <si>
    <t>Luxembourg</t>
  </si>
  <si>
    <t>longhi blanc</t>
  </si>
  <si>
    <t>Gambeya lacourtiana</t>
  </si>
  <si>
    <t>agba/tola</t>
  </si>
  <si>
    <t>Rhodognaphalon breviscupe</t>
  </si>
  <si>
    <t>Mitragyna ciliata</t>
  </si>
  <si>
    <t>Swartzia fistuloïdes</t>
  </si>
  <si>
    <t>Khaya anthotheca</t>
  </si>
  <si>
    <t>congotali</t>
  </si>
  <si>
    <t>Letestua durissima</t>
  </si>
  <si>
    <t>Pterocarpus soyauxii</t>
  </si>
  <si>
    <t>padouk d'afrique</t>
  </si>
  <si>
    <t>pao rosa</t>
  </si>
  <si>
    <t>wengué</t>
  </si>
  <si>
    <t>Millettia laurentii</t>
  </si>
  <si>
    <t>doussié bip</t>
  </si>
  <si>
    <t>alone</t>
  </si>
  <si>
    <t>bahia</t>
  </si>
  <si>
    <t>Piptadeniastrum africanum</t>
  </si>
  <si>
    <t>4403.41.10.1</t>
  </si>
  <si>
    <t>4403.41.10.2</t>
  </si>
  <si>
    <t>4403.41.20.0</t>
  </si>
  <si>
    <t>4403.41.20.1</t>
  </si>
  <si>
    <t>4403.49.91.0</t>
  </si>
  <si>
    <t>4403.49.97.0</t>
  </si>
  <si>
    <t>4403.49.98.0</t>
  </si>
  <si>
    <t>4403.49.99.0</t>
  </si>
  <si>
    <t>4407.29.22.0</t>
  </si>
  <si>
    <t>Canada</t>
  </si>
  <si>
    <t>4403.99.90</t>
  </si>
  <si>
    <t>4407.24.00.10</t>
  </si>
  <si>
    <t>4407.24.00.20</t>
  </si>
  <si>
    <t>4407.24.00.30</t>
  </si>
  <si>
    <t>4407.24.00.40</t>
  </si>
  <si>
    <t>4407.29.00.10</t>
  </si>
  <si>
    <t>4407.29.00.90</t>
  </si>
  <si>
    <t>4407.99.90.00</t>
  </si>
  <si>
    <t>4407.24.00.00</t>
  </si>
  <si>
    <t>4408.31.00.00</t>
  </si>
  <si>
    <t>4408.31.90.00</t>
  </si>
  <si>
    <t>4408.39.10.10</t>
  </si>
  <si>
    <t>4408.39.10.20</t>
  </si>
  <si>
    <t>4408.39.10.90</t>
  </si>
  <si>
    <t>4408.39.90.20</t>
  </si>
  <si>
    <t>4408.90.90.29</t>
  </si>
  <si>
    <t>4408.90.90.30</t>
  </si>
  <si>
    <t>4408.39.00.00</t>
  </si>
  <si>
    <t>4408.90.99.00</t>
  </si>
  <si>
    <t>4412.13.90.11</t>
  </si>
  <si>
    <t>4412.13.90.13</t>
  </si>
  <si>
    <t>4412.13.90.19</t>
  </si>
  <si>
    <t>4412.13.90.90</t>
  </si>
  <si>
    <t>4412.14.00.90</t>
  </si>
  <si>
    <t>4412.14.10.90</t>
  </si>
  <si>
    <t>4412.14.90.19</t>
  </si>
  <si>
    <t>4412.14.90.90</t>
  </si>
  <si>
    <t>4412.22.10.00</t>
  </si>
  <si>
    <t>4412.23.00.10</t>
  </si>
  <si>
    <t>4412.29.00.90</t>
  </si>
  <si>
    <t>4412.92.00</t>
  </si>
  <si>
    <t>4412.99.00</t>
  </si>
  <si>
    <t>cedar</t>
  </si>
  <si>
    <t>Marmaroxylon racemosum</t>
  </si>
  <si>
    <t>bastamarinde</t>
  </si>
  <si>
    <t>Colombia</t>
  </si>
  <si>
    <t>Anacardium excelsum</t>
  </si>
  <si>
    <t>castaño</t>
  </si>
  <si>
    <t>Pachira aquatica</t>
  </si>
  <si>
    <t xml:space="preserve">canime/copaiba </t>
  </si>
  <si>
    <t>virola/camaticaro</t>
  </si>
  <si>
    <t>Carapa guianensis</t>
  </si>
  <si>
    <t>Cedro odorata</t>
  </si>
  <si>
    <t>teca</t>
  </si>
  <si>
    <t>flor morado</t>
  </si>
  <si>
    <t>sangre toro</t>
  </si>
  <si>
    <t>andiroba</t>
  </si>
  <si>
    <t>Tabebuia rosea</t>
  </si>
  <si>
    <t>Côte d'Ivoire</t>
  </si>
  <si>
    <t>teck</t>
  </si>
  <si>
    <t>44.03.49.20.20</t>
  </si>
  <si>
    <t>44.03.99.90.11</t>
  </si>
  <si>
    <t>44.03.49.20.40</t>
  </si>
  <si>
    <t>44.03.49.10.00</t>
  </si>
  <si>
    <t>44.03.49.20.30</t>
  </si>
  <si>
    <t>44.03.49.20.10</t>
  </si>
  <si>
    <t>44.07.29.2000</t>
  </si>
  <si>
    <t>44.07.24.10.00</t>
  </si>
  <si>
    <t>44.07.24.20.00</t>
  </si>
  <si>
    <t>44.07.24.40.00</t>
  </si>
  <si>
    <t>44.07.29.10.00</t>
  </si>
  <si>
    <t>44.07.29.20.00</t>
  </si>
  <si>
    <t>44.07.29.30.00</t>
  </si>
  <si>
    <t>44.08.31.30.00</t>
  </si>
  <si>
    <t>44.08.31.90.10</t>
  </si>
  <si>
    <t>44.08.39.90.10</t>
  </si>
  <si>
    <t>44.08.39.90.20</t>
  </si>
  <si>
    <t>44.08.39.90.40</t>
  </si>
  <si>
    <t>44.08.39.90.50</t>
  </si>
  <si>
    <t>44.08.31.01.00</t>
  </si>
  <si>
    <t>44.08.39.01.00</t>
  </si>
  <si>
    <t>44.12.13.10.00</t>
  </si>
  <si>
    <t>44.12.13.20.00</t>
  </si>
  <si>
    <t>44.12.13.30.00</t>
  </si>
  <si>
    <t>44.12.13.40.00</t>
  </si>
  <si>
    <t>44.12.13.50.00</t>
  </si>
  <si>
    <t>Malaysia</t>
  </si>
  <si>
    <t xml:space="preserve">yellow seraya </t>
  </si>
  <si>
    <t xml:space="preserve">white seraya </t>
  </si>
  <si>
    <t xml:space="preserve">red seraya </t>
  </si>
  <si>
    <t>sepetir</t>
  </si>
  <si>
    <t>bindang/ sempilor</t>
  </si>
  <si>
    <t>Bombax malabaricum</t>
  </si>
  <si>
    <t>red selangan batu</t>
  </si>
  <si>
    <t>Shorea guiso</t>
  </si>
  <si>
    <t>Pseudosindora palustris</t>
  </si>
  <si>
    <t>nyatoh</t>
  </si>
  <si>
    <t>Palaquium hexandrum</t>
  </si>
  <si>
    <t>Dalbergia olveri</t>
  </si>
  <si>
    <t>Shorea obtusa</t>
  </si>
  <si>
    <t>Tectona qrandis</t>
  </si>
  <si>
    <t>saya/light red meranti</t>
  </si>
  <si>
    <t>takien</t>
  </si>
  <si>
    <t>teng/rang</t>
  </si>
  <si>
    <t>ching chan/ketdaeng</t>
  </si>
  <si>
    <t>cuta</t>
  </si>
  <si>
    <t>Cedrela fissilis Vell.</t>
  </si>
  <si>
    <t>Swietenia macrophylla King</t>
  </si>
  <si>
    <t>Tabebuia impetiginosa</t>
  </si>
  <si>
    <t>tajibo</t>
  </si>
  <si>
    <t>Dipteryx odorata</t>
  </si>
  <si>
    <t>almendrillo</t>
  </si>
  <si>
    <t>Hymenea courbaril</t>
  </si>
  <si>
    <t>paquio</t>
  </si>
  <si>
    <t>Ormosia coarctata</t>
  </si>
  <si>
    <t>sirari</t>
  </si>
  <si>
    <t xml:space="preserve">Phyllostylon rhamnoides </t>
  </si>
  <si>
    <t>Phyllostylon rhamnoides</t>
  </si>
  <si>
    <t>Terminalia amazonica</t>
  </si>
  <si>
    <t>verdolago</t>
  </si>
  <si>
    <t>Schizolobium parahyba</t>
  </si>
  <si>
    <t>Cariniana estrellensis</t>
  </si>
  <si>
    <t>Melia azerderach</t>
  </si>
  <si>
    <t>paraiso</t>
  </si>
  <si>
    <t>Bibosi</t>
  </si>
  <si>
    <t>Ficus glabrata H.B.K</t>
  </si>
  <si>
    <t>hoja de yuca</t>
  </si>
  <si>
    <t>Egypt*</t>
  </si>
  <si>
    <t>Ghana*</t>
  </si>
  <si>
    <t>2003*</t>
  </si>
  <si>
    <t>mersawa</t>
  </si>
  <si>
    <t>44.07.29.00.05</t>
  </si>
  <si>
    <t>CAR*</t>
  </si>
  <si>
    <t>Pra-du</t>
  </si>
  <si>
    <t>4407.25.10.01</t>
  </si>
  <si>
    <t>4407.25.10.09</t>
  </si>
  <si>
    <t>4407.25.90.00</t>
  </si>
  <si>
    <t>4407.26.20.00</t>
  </si>
  <si>
    <t>4407.29.10.01</t>
  </si>
  <si>
    <t>4407.29.20.01</t>
  </si>
  <si>
    <t>4407.29.20.09</t>
  </si>
  <si>
    <t>4407.29.30.01</t>
  </si>
  <si>
    <t>4407.29.30.09</t>
  </si>
  <si>
    <t>4408.31.90.21</t>
  </si>
  <si>
    <t>4408.31.90.39</t>
  </si>
  <si>
    <t>4408.39.10.01</t>
  </si>
  <si>
    <t>4408.39.90.09</t>
  </si>
  <si>
    <t>4408.39.90.11</t>
  </si>
  <si>
    <t>4408.39.90.39</t>
  </si>
  <si>
    <t>4408.39.90.49</t>
  </si>
  <si>
    <t>4408.90.02.09</t>
  </si>
  <si>
    <t>4408.90.08.11</t>
  </si>
  <si>
    <t>4408.90.08.31</t>
  </si>
  <si>
    <t>4408.90.08.39</t>
  </si>
  <si>
    <t>4412.22.10.01</t>
  </si>
  <si>
    <t>4412.22.10.09</t>
  </si>
  <si>
    <t>4403.99.99.0</t>
  </si>
  <si>
    <t>4403.99.96.0</t>
  </si>
  <si>
    <t>4403.99.94.0</t>
  </si>
  <si>
    <t>4403.99.98.0</t>
  </si>
  <si>
    <t>4403.99.91.0</t>
  </si>
  <si>
    <t>4407.99.22.0</t>
  </si>
  <si>
    <t>4407.99.91.1</t>
  </si>
  <si>
    <t>padok</t>
  </si>
  <si>
    <t>4407.99.00.90</t>
  </si>
  <si>
    <r>
      <t>Chlorophora</t>
    </r>
    <r>
      <rPr>
        <sz val="10"/>
        <rFont val="Times New Roman"/>
        <family val="1"/>
      </rPr>
      <t xml:space="preserve"> spp.</t>
    </r>
  </si>
  <si>
    <r>
      <t>Shorea</t>
    </r>
    <r>
      <rPr>
        <sz val="10"/>
        <rFont val="Times New Roman"/>
        <family val="1"/>
      </rPr>
      <t xml:space="preserve"> spp.</t>
    </r>
  </si>
  <si>
    <r>
      <t xml:space="preserve">Parashorea </t>
    </r>
    <r>
      <rPr>
        <sz val="10"/>
        <rFont val="Times New Roman"/>
        <family val="1"/>
      </rPr>
      <t>spp.</t>
    </r>
  </si>
  <si>
    <r>
      <t xml:space="preserve">Parashorea </t>
    </r>
    <r>
      <rPr>
        <sz val="10"/>
        <rFont val="Times New Roman"/>
        <family val="1"/>
      </rPr>
      <t>spp.</t>
    </r>
    <r>
      <rPr>
        <i/>
        <sz val="10"/>
        <rFont val="Times New Roman"/>
        <family val="1"/>
      </rPr>
      <t xml:space="preserve">, Pentacme </t>
    </r>
    <r>
      <rPr>
        <sz val="10"/>
        <rFont val="Times New Roman"/>
        <family val="1"/>
      </rPr>
      <t>spp.</t>
    </r>
  </si>
  <si>
    <r>
      <t xml:space="preserve">Intsia </t>
    </r>
    <r>
      <rPr>
        <sz val="10"/>
        <rFont val="Times New Roman"/>
        <family val="1"/>
      </rPr>
      <t>spp.</t>
    </r>
  </si>
  <si>
    <r>
      <t>Copaifera</t>
    </r>
    <r>
      <rPr>
        <sz val="10"/>
        <rFont val="Times New Roman"/>
        <family val="1"/>
      </rPr>
      <t xml:space="preserve"> spp.</t>
    </r>
  </si>
  <si>
    <r>
      <t xml:space="preserve">Virola </t>
    </r>
    <r>
      <rPr>
        <sz val="10"/>
        <rFont val="Times New Roman"/>
        <family val="1"/>
      </rPr>
      <t>spp.</t>
    </r>
  </si>
  <si>
    <r>
      <t xml:space="preserve">Dialianthera </t>
    </r>
    <r>
      <rPr>
        <sz val="10"/>
        <rFont val="Times New Roman"/>
        <family val="1"/>
      </rPr>
      <t>spp.</t>
    </r>
  </si>
  <si>
    <r>
      <t xml:space="preserve">Lophira </t>
    </r>
    <r>
      <rPr>
        <sz val="10"/>
        <rFont val="Times New Roman"/>
        <family val="1"/>
      </rPr>
      <t>spp.</t>
    </r>
  </si>
  <si>
    <r>
      <t xml:space="preserve">Euxylophora </t>
    </r>
    <r>
      <rPr>
        <sz val="10"/>
        <rFont val="Times New Roman"/>
        <family val="1"/>
      </rPr>
      <t>spp.</t>
    </r>
  </si>
  <si>
    <r>
      <t xml:space="preserve">Mora </t>
    </r>
    <r>
      <rPr>
        <sz val="10"/>
        <rFont val="Times New Roman"/>
        <family val="1"/>
      </rPr>
      <t>spp.</t>
    </r>
  </si>
  <si>
    <r>
      <t xml:space="preserve">Chorisia </t>
    </r>
    <r>
      <rPr>
        <sz val="10"/>
        <rFont val="Times New Roman"/>
        <family val="1"/>
      </rPr>
      <t>spp.</t>
    </r>
  </si>
  <si>
    <r>
      <t xml:space="preserve">Brosium </t>
    </r>
    <r>
      <rPr>
        <sz val="10"/>
        <rFont val="Times New Roman"/>
        <family val="1"/>
      </rPr>
      <t>spp.</t>
    </r>
  </si>
  <si>
    <r>
      <t xml:space="preserve">Virola </t>
    </r>
    <r>
      <rPr>
        <sz val="10"/>
        <rFont val="Times New Roman"/>
        <family val="1"/>
      </rPr>
      <t>spp.</t>
    </r>
    <r>
      <rPr>
        <i/>
        <sz val="10"/>
        <rFont val="Times New Roman"/>
        <family val="1"/>
      </rPr>
      <t xml:space="preserve">/Iryanthera </t>
    </r>
    <r>
      <rPr>
        <sz val="10"/>
        <rFont val="Times New Roman"/>
        <family val="1"/>
      </rPr>
      <t>spp.</t>
    </r>
  </si>
  <si>
    <t>pararubber wood</t>
  </si>
  <si>
    <t>pra-du</t>
  </si>
  <si>
    <t>teng and rang</t>
  </si>
  <si>
    <r>
      <t xml:space="preserve">Anisoptera </t>
    </r>
    <r>
      <rPr>
        <sz val="10"/>
        <rFont val="Times New Roman"/>
        <family val="1"/>
      </rPr>
      <t>spp.</t>
    </r>
  </si>
  <si>
    <r>
      <t xml:space="preserve">Aspidosperma </t>
    </r>
    <r>
      <rPr>
        <sz val="10"/>
        <rFont val="Times New Roman"/>
        <family val="1"/>
      </rPr>
      <t>spp.</t>
    </r>
  </si>
  <si>
    <r>
      <t xml:space="preserve">Hymenaea </t>
    </r>
    <r>
      <rPr>
        <sz val="10"/>
        <rFont val="Times New Roman"/>
        <family val="1"/>
      </rPr>
      <t>spp.</t>
    </r>
  </si>
  <si>
    <r>
      <t xml:space="preserve">Juglans </t>
    </r>
    <r>
      <rPr>
        <sz val="10"/>
        <rFont val="Times New Roman"/>
        <family val="1"/>
      </rPr>
      <t>spp.</t>
    </r>
  </si>
  <si>
    <t>eucalyptus</t>
  </si>
  <si>
    <t>Hevea brasiliensis</t>
  </si>
  <si>
    <t>Eucalyptus spp.</t>
  </si>
  <si>
    <r>
      <t xml:space="preserve">Hymenolobium </t>
    </r>
    <r>
      <rPr>
        <sz val="10"/>
        <rFont val="Times New Roman"/>
        <family val="1"/>
      </rPr>
      <t>spp.</t>
    </r>
  </si>
  <si>
    <r>
      <t xml:space="preserve">Eschweilera </t>
    </r>
    <r>
      <rPr>
        <sz val="10"/>
        <rFont val="Times New Roman"/>
        <family val="1"/>
      </rPr>
      <t>spp.</t>
    </r>
  </si>
  <si>
    <t>ching-chan/ket-daeng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</si>
</sst>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.000"/>
    <numFmt numFmtId="191" formatCode=".000"/>
    <numFmt numFmtId="192" formatCode="0.00_);\(0.00\)"/>
    <numFmt numFmtId="193" formatCode="0.0"/>
    <numFmt numFmtId="194" formatCode="0.0000"/>
    <numFmt numFmtId="195" formatCode="#,##0.000"/>
    <numFmt numFmtId="196" formatCode="_(* #,##0_);_(* \(#,##0\);_(* &quot;-&quot;??_);_(@_)"/>
    <numFmt numFmtId="197" formatCode="#,##0.000_);\(#,##0.000\)"/>
    <numFmt numFmtId="198" formatCode="#,##0.0"/>
    <numFmt numFmtId="199" formatCode="_-* #,##0\ _F_B_-;\-* #,##0\ _F_B_-;_-* &quot;-&quot;\ _F_B_-;_-@_-"/>
    <numFmt numFmtId="200" formatCode="0.00000"/>
    <numFmt numFmtId="201" formatCode="[$-809]d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"/>
    <numFmt numFmtId="207" formatCode="0E+00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name val="Courier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5"/>
      <color indexed="12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39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bgColor indexed="22"/>
      </patternFill>
    </fill>
    <fill>
      <patternFill patternType="lightGray">
        <bgColor indexed="42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top"/>
    </xf>
    <xf numFmtId="190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9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90" fontId="6" fillId="0" borderId="0" xfId="0" applyNumberFormat="1" applyFont="1" applyAlignment="1">
      <alignment/>
    </xf>
    <xf numFmtId="190" fontId="6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 horizontal="right"/>
    </xf>
    <xf numFmtId="190" fontId="4" fillId="0" borderId="0" xfId="0" applyNumberFormat="1" applyFont="1" applyAlignment="1">
      <alignment/>
    </xf>
    <xf numFmtId="19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 quotePrefix="1">
      <alignment horizontal="right"/>
    </xf>
    <xf numFmtId="1" fontId="9" fillId="0" borderId="0" xfId="0" applyNumberFormat="1" applyFont="1" applyBorder="1" applyAlignment="1">
      <alignment horizontal="left" vertical="top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2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 quotePrefix="1">
      <alignment horizontal="right" vertical="center"/>
    </xf>
    <xf numFmtId="0" fontId="4" fillId="0" borderId="0" xfId="21" applyFont="1" applyBorder="1" applyAlignment="1" applyProtection="1">
      <alignment horizontal="left" vertical="center"/>
      <protection locked="0"/>
    </xf>
    <xf numFmtId="190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top"/>
    </xf>
    <xf numFmtId="1" fontId="15" fillId="0" borderId="0" xfId="0" applyNumberFormat="1" applyFont="1" applyBorder="1" applyAlignment="1">
      <alignment horizontal="left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3" fontId="4" fillId="0" borderId="0" xfId="22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Border="1" applyAlignment="1">
      <alignment vertical="top"/>
    </xf>
    <xf numFmtId="1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1" fontId="15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90" fontId="6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Alignment="1">
      <alignment horizontal="left" vertical="center"/>
    </xf>
    <xf numFmtId="191" fontId="4" fillId="0" borderId="0" xfId="0" applyNumberFormat="1" applyFont="1" applyAlignment="1">
      <alignment horizontal="left"/>
    </xf>
    <xf numFmtId="0" fontId="11" fillId="3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right" vertical="top"/>
    </xf>
    <xf numFmtId="0" fontId="15" fillId="4" borderId="2" xfId="0" applyFont="1" applyFill="1" applyBorder="1" applyAlignment="1">
      <alignment vertical="center"/>
    </xf>
    <xf numFmtId="1" fontId="15" fillId="0" borderId="2" xfId="0" applyNumberFormat="1" applyFont="1" applyBorder="1" applyAlignment="1">
      <alignment horizontal="left" vertical="top"/>
    </xf>
    <xf numFmtId="0" fontId="15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1" fontId="15" fillId="0" borderId="1" xfId="0" applyNumberFormat="1" applyFont="1" applyBorder="1" applyAlignment="1">
      <alignment horizontal="left" vertical="top"/>
    </xf>
    <xf numFmtId="0" fontId="4" fillId="4" borderId="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 quotePrefix="1">
      <alignment horizontal="right"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/>
    </xf>
    <xf numFmtId="0" fontId="7" fillId="5" borderId="2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vertical="top"/>
    </xf>
    <xf numFmtId="1" fontId="4" fillId="2" borderId="0" xfId="0" applyNumberFormat="1" applyFont="1" applyFill="1" applyAlignment="1">
      <alignment horizontal="right" vertical="top"/>
    </xf>
    <xf numFmtId="1" fontId="4" fillId="2" borderId="0" xfId="0" applyNumberFormat="1" applyFont="1" applyFill="1" applyBorder="1" applyAlignment="1" quotePrefix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/>
    </xf>
    <xf numFmtId="1" fontId="4" fillId="2" borderId="0" xfId="0" applyNumberFormat="1" applyFont="1" applyFill="1" applyAlignment="1" quotePrefix="1">
      <alignment horizontal="right"/>
    </xf>
    <xf numFmtId="3" fontId="4" fillId="2" borderId="0" xfId="22" applyNumberFormat="1" applyFont="1" applyFill="1" applyBorder="1" applyAlignment="1" applyProtection="1">
      <alignment horizontal="right" vertical="center"/>
      <protection locked="0"/>
    </xf>
    <xf numFmtId="1" fontId="4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4" fontId="4" fillId="0" borderId="0" xfId="22" applyNumberFormat="1" applyFont="1" applyFill="1" applyBorder="1" applyAlignment="1" applyProtection="1">
      <alignment horizontal="right" vertical="center"/>
      <protection locked="0"/>
    </xf>
    <xf numFmtId="4" fontId="4" fillId="0" borderId="0" xfId="22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1" fontId="21" fillId="0" borderId="0" xfId="0" applyNumberFormat="1" applyFont="1" applyAlignment="1">
      <alignment horizontal="left" vertical="top"/>
    </xf>
    <xf numFmtId="1" fontId="19" fillId="2" borderId="0" xfId="0" applyNumberFormat="1" applyFont="1" applyFill="1" applyAlignment="1">
      <alignment/>
    </xf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" fontId="4" fillId="0" borderId="0" xfId="0" applyNumberFormat="1" applyFont="1" applyFill="1" applyBorder="1" applyAlignment="1" quotePrefix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center" vertical="top"/>
    </xf>
    <xf numFmtId="1" fontId="19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vertical="top"/>
    </xf>
    <xf numFmtId="1" fontId="19" fillId="2" borderId="0" xfId="0" applyNumberFormat="1" applyFont="1" applyFill="1" applyBorder="1" applyAlignment="1">
      <alignment/>
    </xf>
    <xf numFmtId="1" fontId="19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vertical="top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" fontId="19" fillId="2" borderId="0" xfId="0" applyNumberFormat="1" applyFont="1" applyFill="1" applyAlignment="1">
      <alignment/>
    </xf>
    <xf numFmtId="1" fontId="19" fillId="2" borderId="0" xfId="0" applyNumberFormat="1" applyFont="1" applyFill="1" applyAlignment="1" quotePrefix="1">
      <alignment horizontal="right"/>
    </xf>
    <xf numFmtId="1" fontId="19" fillId="0" borderId="0" xfId="0" applyNumberFormat="1" applyFont="1" applyAlignment="1" quotePrefix="1">
      <alignment horizontal="right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1" fontId="19" fillId="2" borderId="0" xfId="0" applyNumberFormat="1" applyFont="1" applyFill="1" applyAlignment="1" quotePrefix="1">
      <alignment horizontal="right" vertical="center"/>
    </xf>
    <xf numFmtId="1" fontId="19" fillId="2" borderId="0" xfId="0" applyNumberFormat="1" applyFont="1" applyFill="1" applyBorder="1" applyAlignment="1">
      <alignment/>
    </xf>
    <xf numFmtId="1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/>
    </xf>
    <xf numFmtId="1" fontId="19" fillId="2" borderId="0" xfId="0" applyNumberFormat="1" applyFont="1" applyFill="1" applyBorder="1" applyAlignment="1" quotePrefix="1">
      <alignment horizontal="right"/>
    </xf>
    <xf numFmtId="1" fontId="19" fillId="0" borderId="0" xfId="0" applyNumberFormat="1" applyFont="1" applyBorder="1" applyAlignment="1" quotePrefix="1">
      <alignment horizontal="right"/>
    </xf>
    <xf numFmtId="1" fontId="19" fillId="0" borderId="0" xfId="0" applyNumberFormat="1" applyFont="1" applyBorder="1" applyAlignment="1">
      <alignment vertical="center"/>
    </xf>
    <xf numFmtId="1" fontId="19" fillId="0" borderId="0" xfId="0" applyNumberFormat="1" applyFont="1" applyAlignment="1" quotePrefix="1">
      <alignment horizontal="right" vertical="center"/>
    </xf>
    <xf numFmtId="190" fontId="19" fillId="0" borderId="0" xfId="0" applyNumberFormat="1" applyFont="1" applyAlignment="1">
      <alignment/>
    </xf>
    <xf numFmtId="1" fontId="19" fillId="2" borderId="0" xfId="0" applyNumberFormat="1" applyFont="1" applyFill="1" applyAlignment="1">
      <alignment vertical="center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>
      <alignment horizontal="left" indent="1"/>
    </xf>
    <xf numFmtId="1" fontId="19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left"/>
    </xf>
    <xf numFmtId="1" fontId="19" fillId="2" borderId="0" xfId="0" applyNumberFormat="1" applyFont="1" applyFill="1" applyBorder="1" applyAlignment="1">
      <alignment horizontal="right"/>
    </xf>
    <xf numFmtId="1" fontId="19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1" fontId="19" fillId="2" borderId="0" xfId="0" applyNumberFormat="1" applyFont="1" applyFill="1" applyBorder="1" applyAlignment="1">
      <alignment horizontal="right" vertical="center"/>
    </xf>
    <xf numFmtId="4" fontId="19" fillId="0" borderId="0" xfId="22" applyNumberFormat="1" applyFont="1" applyFill="1" applyBorder="1" applyAlignment="1" applyProtection="1">
      <alignment horizontal="right" vertical="center"/>
      <protection locked="0"/>
    </xf>
    <xf numFmtId="1" fontId="19" fillId="0" borderId="0" xfId="0" applyNumberFormat="1" applyFont="1" applyBorder="1" applyAlignment="1">
      <alignment horizontal="center" vertical="top"/>
    </xf>
    <xf numFmtId="1" fontId="19" fillId="0" borderId="0" xfId="0" applyNumberFormat="1" applyFont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 horizontal="left" vertical="center"/>
    </xf>
    <xf numFmtId="1" fontId="21" fillId="0" borderId="0" xfId="0" applyNumberFormat="1" applyFont="1" applyBorder="1" applyAlignment="1">
      <alignment vertical="center"/>
    </xf>
    <xf numFmtId="1" fontId="19" fillId="2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 inden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indent="1"/>
    </xf>
    <xf numFmtId="1" fontId="19" fillId="2" borderId="0" xfId="0" applyNumberFormat="1" applyFont="1" applyFill="1" applyBorder="1" applyAlignment="1" quotePrefix="1">
      <alignment horizontal="right" vertical="center"/>
    </xf>
    <xf numFmtId="1" fontId="19" fillId="0" borderId="0" xfId="0" applyNumberFormat="1" applyFont="1" applyBorder="1" applyAlignment="1" quotePrefix="1">
      <alignment horizontal="right" vertical="center"/>
    </xf>
    <xf numFmtId="1" fontId="21" fillId="0" borderId="0" xfId="0" applyNumberFormat="1" applyFont="1" applyBorder="1" applyAlignment="1">
      <alignment horizontal="left" vertical="center"/>
    </xf>
    <xf numFmtId="1" fontId="19" fillId="2" borderId="0" xfId="0" applyNumberFormat="1" applyFont="1" applyFill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1" fontId="24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/>
    </xf>
    <xf numFmtId="1" fontId="19" fillId="0" borderId="0" xfId="0" applyNumberFormat="1" applyFont="1" applyBorder="1" applyAlignment="1">
      <alignment vertical="top"/>
    </xf>
    <xf numFmtId="1" fontId="19" fillId="2" borderId="0" xfId="0" applyNumberFormat="1" applyFont="1" applyFill="1" applyAlignment="1">
      <alignment vertical="top"/>
    </xf>
    <xf numFmtId="1" fontId="19" fillId="0" borderId="0" xfId="0" applyNumberFormat="1" applyFont="1" applyAlignment="1">
      <alignment vertical="top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/>
    </xf>
    <xf numFmtId="0" fontId="4" fillId="0" borderId="0" xfId="21" applyFont="1" applyFill="1" applyBorder="1" applyAlignment="1" applyProtection="1">
      <alignment horizontal="left" vertical="center" wrapText="1"/>
      <protection/>
    </xf>
    <xf numFmtId="0" fontId="4" fillId="0" borderId="0" xfId="21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1" fontId="1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207" fontId="4" fillId="0" borderId="0" xfId="0" applyNumberFormat="1" applyFont="1" applyAlignment="1">
      <alignment/>
    </xf>
    <xf numFmtId="1" fontId="25" fillId="2" borderId="0" xfId="0" applyNumberFormat="1" applyFont="1" applyFill="1" applyAlignment="1">
      <alignment vertical="center"/>
    </xf>
    <xf numFmtId="1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vertical="top"/>
    </xf>
    <xf numFmtId="1" fontId="15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0" xfId="0" applyFont="1" applyFill="1" applyBorder="1" applyAlignment="1">
      <alignment vertical="center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2" borderId="0" xfId="0" applyNumberFormat="1" applyFont="1" applyFill="1" applyAlignment="1" quotePrefix="1">
      <alignment horizontal="right" vertical="center"/>
    </xf>
    <xf numFmtId="1" fontId="4" fillId="0" borderId="0" xfId="0" applyNumberFormat="1" applyFont="1" applyAlignment="1" quotePrefix="1">
      <alignment horizontal="right" vertical="center"/>
    </xf>
    <xf numFmtId="1" fontId="4" fillId="2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Fill="1" applyAlignment="1" quotePrefix="1">
      <alignment horizontal="right"/>
    </xf>
    <xf numFmtId="1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indent="1"/>
    </xf>
    <xf numFmtId="0" fontId="4" fillId="0" borderId="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quotePrefix="1">
      <alignment horizontal="right"/>
    </xf>
    <xf numFmtId="49" fontId="4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vertical="center"/>
    </xf>
    <xf numFmtId="1" fontId="4" fillId="2" borderId="0" xfId="0" applyNumberFormat="1" applyFont="1" applyFill="1" applyAlignment="1" quotePrefix="1">
      <alignment vertical="center"/>
    </xf>
    <xf numFmtId="1" fontId="4" fillId="0" borderId="0" xfId="0" applyNumberFormat="1" applyFont="1" applyAlignment="1" quotePrefix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4" fillId="2" borderId="0" xfId="2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5" fillId="0" borderId="0" xfId="0" applyNumberFormat="1" applyFont="1" applyAlignment="1">
      <alignment horizontal="center" vertical="top"/>
    </xf>
    <xf numFmtId="1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7" fillId="0" borderId="0" xfId="0" applyFont="1" applyAlignment="1">
      <alignment/>
    </xf>
    <xf numFmtId="1" fontId="6" fillId="0" borderId="0" xfId="0" applyNumberFormat="1" applyFont="1" applyAlignment="1">
      <alignment/>
    </xf>
    <xf numFmtId="1" fontId="28" fillId="0" borderId="0" xfId="0" applyNumberFormat="1" applyFont="1" applyAlignment="1">
      <alignment horizontal="left" vertical="top"/>
    </xf>
    <xf numFmtId="1" fontId="6" fillId="2" borderId="0" xfId="0" applyNumberFormat="1" applyFont="1" applyFill="1" applyAlignment="1">
      <alignment/>
    </xf>
    <xf numFmtId="191" fontId="4" fillId="0" borderId="0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1" fontId="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22" applyNumberFormat="1" applyFont="1" applyFill="1" applyBorder="1" applyAlignment="1" applyProtection="1" quotePrefix="1">
      <alignment horizontal="right" vertical="center"/>
      <protection locked="0"/>
    </xf>
    <xf numFmtId="1" fontId="0" fillId="2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0" borderId="0" xfId="0" applyNumberFormat="1" applyFont="1" applyFill="1" applyBorder="1" applyAlignment="1" quotePrefix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Alignment="1">
      <alignment horizontal="left" vertical="center"/>
    </xf>
    <xf numFmtId="1" fontId="4" fillId="2" borderId="0" xfId="0" applyNumberFormat="1" applyFont="1" applyFill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4" fillId="0" borderId="0" xfId="0" applyNumberFormat="1" applyFont="1" applyAlignment="1" quotePrefix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2" borderId="0" xfId="0" applyNumberFormat="1" applyFont="1" applyFill="1" applyAlignment="1">
      <alignment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" fontId="4" fillId="2" borderId="0" xfId="0" applyNumberFormat="1" applyFont="1" applyFill="1" applyAlignment="1" quotePrefix="1">
      <alignment horizontal="right" vertical="center"/>
    </xf>
    <xf numFmtId="1" fontId="4" fillId="2" borderId="0" xfId="0" applyNumberFormat="1" applyFont="1" applyFill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 quotePrefix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 quotePrefix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" fontId="0" fillId="2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-itto2000" xfId="21"/>
    <cellStyle name="Normal_YBFPQNE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view="pageBreakPreview" zoomScale="115" zoomScaleNormal="90" zoomScaleSheetLayoutView="115" workbookViewId="0" topLeftCell="A1">
      <selection activeCell="A1" sqref="A1"/>
    </sheetView>
  </sheetViews>
  <sheetFormatPr defaultColWidth="9.140625" defaultRowHeight="12.75"/>
  <cols>
    <col min="1" max="1" width="16.28125" style="8" customWidth="1"/>
    <col min="2" max="2" width="5.8515625" style="22" customWidth="1"/>
    <col min="3" max="3" width="29.8515625" style="9" customWidth="1"/>
    <col min="4" max="4" width="22.421875" style="10" bestFit="1" customWidth="1"/>
    <col min="5" max="5" width="1.7109375" style="16" customWidth="1"/>
    <col min="6" max="6" width="8.7109375" style="15" customWidth="1"/>
    <col min="7" max="7" width="3.140625" style="101" customWidth="1"/>
    <col min="8" max="8" width="9.00390625" style="23" hidden="1" customWidth="1"/>
    <col min="9" max="9" width="8.7109375" style="15" customWidth="1"/>
    <col min="10" max="10" width="1.8515625" style="15" customWidth="1"/>
    <col min="11" max="11" width="9.140625" style="146" customWidth="1"/>
    <col min="12" max="12" width="5.00390625" style="8" customWidth="1"/>
    <col min="13" max="16384" width="9.140625" style="8" customWidth="1"/>
  </cols>
  <sheetData>
    <row r="1" spans="1:10" s="58" customFormat="1" ht="19.5" customHeight="1">
      <c r="A1" s="108" t="s">
        <v>33</v>
      </c>
      <c r="B1" s="108"/>
      <c r="C1" s="108"/>
      <c r="D1" s="108"/>
      <c r="E1" s="108"/>
      <c r="F1" s="108"/>
      <c r="G1" s="113"/>
      <c r="H1" s="122"/>
      <c r="I1" s="108"/>
      <c r="J1" s="119"/>
    </row>
    <row r="2" spans="1:10" ht="15.75">
      <c r="A2" s="8" t="s">
        <v>0</v>
      </c>
      <c r="B2" s="22" t="s">
        <v>31</v>
      </c>
      <c r="C2" s="8" t="s">
        <v>29</v>
      </c>
      <c r="D2" s="8" t="s">
        <v>41</v>
      </c>
      <c r="E2" s="78"/>
      <c r="F2" s="18" t="s">
        <v>1</v>
      </c>
      <c r="H2" s="122" t="s">
        <v>306</v>
      </c>
      <c r="I2" s="52" t="s">
        <v>2</v>
      </c>
      <c r="J2" s="52"/>
    </row>
    <row r="3" spans="1:10" ht="15.75">
      <c r="A3" s="7"/>
      <c r="B3" s="30"/>
      <c r="C3" s="7" t="s">
        <v>28</v>
      </c>
      <c r="D3" s="7"/>
      <c r="E3" s="80"/>
      <c r="F3" s="13" t="s">
        <v>91</v>
      </c>
      <c r="G3" s="114"/>
      <c r="H3" s="232" t="s">
        <v>305</v>
      </c>
      <c r="I3" s="147" t="s">
        <v>92</v>
      </c>
      <c r="J3" s="52"/>
    </row>
    <row r="4" spans="3:10" ht="3" customHeight="1">
      <c r="C4" s="8"/>
      <c r="D4" s="8"/>
      <c r="E4" s="78"/>
      <c r="F4" s="18"/>
      <c r="H4" s="122"/>
      <c r="I4" s="52"/>
      <c r="J4" s="52"/>
    </row>
    <row r="5" spans="1:10" ht="12.75" customHeight="1">
      <c r="A5" s="8" t="s">
        <v>562</v>
      </c>
      <c r="B5" s="22">
        <v>2003</v>
      </c>
      <c r="C5" s="8" t="s">
        <v>563</v>
      </c>
      <c r="D5" s="8" t="s">
        <v>42</v>
      </c>
      <c r="E5" s="78"/>
      <c r="F5" s="19">
        <v>3</v>
      </c>
      <c r="H5" s="123">
        <v>129.11997716080222</v>
      </c>
      <c r="I5" s="15">
        <f aca="true" t="shared" si="0" ref="I5:I11">$H5/$F5</f>
        <v>43.039992386934074</v>
      </c>
      <c r="J5" s="19"/>
    </row>
    <row r="6" spans="1:10" ht="12.75" customHeight="1">
      <c r="A6" s="8" t="s">
        <v>562</v>
      </c>
      <c r="B6" s="22">
        <v>2003</v>
      </c>
      <c r="C6" s="8" t="s">
        <v>57</v>
      </c>
      <c r="D6" s="8"/>
      <c r="E6" s="78"/>
      <c r="F6" s="19">
        <v>1</v>
      </c>
      <c r="H6" s="120">
        <v>142.7307115837556</v>
      </c>
      <c r="I6" s="15">
        <f>$H6/$F6</f>
        <v>142.7307115837556</v>
      </c>
      <c r="J6" s="19"/>
    </row>
    <row r="7" spans="1:10" ht="12.75" customHeight="1">
      <c r="A7" s="8" t="s">
        <v>562</v>
      </c>
      <c r="B7" s="22">
        <v>2003</v>
      </c>
      <c r="C7" s="8" t="s">
        <v>56</v>
      </c>
      <c r="D7" s="8"/>
      <c r="E7" s="78"/>
      <c r="F7" s="19">
        <v>0.08</v>
      </c>
      <c r="G7" s="101" t="s">
        <v>10</v>
      </c>
      <c r="H7" s="123">
        <v>40.59738776675469</v>
      </c>
      <c r="I7" s="15">
        <f t="shared" si="0"/>
        <v>507.46734708443364</v>
      </c>
      <c r="J7" s="19"/>
    </row>
    <row r="8" spans="3:10" ht="12.75" customHeight="1">
      <c r="C8" s="3"/>
      <c r="E8" s="81"/>
      <c r="F8" s="82"/>
      <c r="H8" s="245"/>
      <c r="I8" s="29"/>
      <c r="J8" s="19"/>
    </row>
    <row r="9" spans="1:10" ht="12.75" customHeight="1">
      <c r="A9" s="8" t="s">
        <v>562</v>
      </c>
      <c r="B9" s="22">
        <v>2004</v>
      </c>
      <c r="C9" s="8" t="s">
        <v>57</v>
      </c>
      <c r="D9" s="8" t="s">
        <v>42</v>
      </c>
      <c r="E9" s="78"/>
      <c r="F9" s="19">
        <v>3</v>
      </c>
      <c r="H9" s="120">
        <v>228.6149116064566</v>
      </c>
      <c r="I9" s="15">
        <f t="shared" si="0"/>
        <v>76.20497053548553</v>
      </c>
      <c r="J9" s="19"/>
    </row>
    <row r="10" spans="1:10" ht="12.75" customHeight="1">
      <c r="A10" s="8" t="s">
        <v>562</v>
      </c>
      <c r="B10" s="22">
        <v>2004</v>
      </c>
      <c r="C10" s="8" t="s">
        <v>563</v>
      </c>
      <c r="D10" s="8"/>
      <c r="E10" s="78"/>
      <c r="F10" s="19">
        <v>3</v>
      </c>
      <c r="H10" s="123">
        <v>136.40814757878553</v>
      </c>
      <c r="I10" s="15">
        <f t="shared" si="0"/>
        <v>45.469382526261846</v>
      </c>
      <c r="J10" s="19"/>
    </row>
    <row r="11" spans="1:10" ht="12.75" customHeight="1">
      <c r="A11" s="8" t="s">
        <v>562</v>
      </c>
      <c r="B11" s="22">
        <v>2004</v>
      </c>
      <c r="C11" s="8" t="s">
        <v>56</v>
      </c>
      <c r="D11" s="8"/>
      <c r="E11" s="78"/>
      <c r="F11" s="19">
        <v>0.013</v>
      </c>
      <c r="G11" s="101" t="s">
        <v>10</v>
      </c>
      <c r="H11" s="123">
        <v>6.071483474250576</v>
      </c>
      <c r="I11" s="15">
        <f t="shared" si="0"/>
        <v>467.03719032696745</v>
      </c>
      <c r="J11" s="19"/>
    </row>
    <row r="12" spans="5:10" ht="12.75" customHeight="1">
      <c r="E12" s="81"/>
      <c r="F12" s="42"/>
      <c r="H12" s="120"/>
      <c r="I12" s="19"/>
      <c r="J12" s="19"/>
    </row>
    <row r="13" spans="1:10" ht="12.75" customHeight="1">
      <c r="A13" s="8" t="s">
        <v>680</v>
      </c>
      <c r="B13" s="22">
        <v>2003</v>
      </c>
      <c r="C13" s="9" t="s">
        <v>472</v>
      </c>
      <c r="D13" s="10" t="s">
        <v>326</v>
      </c>
      <c r="E13" s="81"/>
      <c r="F13" s="42">
        <f>3481.695/1000</f>
        <v>3.481695</v>
      </c>
      <c r="H13" s="120">
        <f>2180663</f>
        <v>2180663</v>
      </c>
      <c r="I13" s="19">
        <f aca="true" t="shared" si="1" ref="I13:I19">$H13/1000/$F13</f>
        <v>626.3222367266518</v>
      </c>
      <c r="J13" s="19"/>
    </row>
    <row r="14" spans="1:10" ht="12.75" customHeight="1">
      <c r="A14" s="8" t="s">
        <v>680</v>
      </c>
      <c r="B14" s="22">
        <v>2003</v>
      </c>
      <c r="C14" s="9" t="s">
        <v>76</v>
      </c>
      <c r="D14" s="10" t="s">
        <v>343</v>
      </c>
      <c r="E14" s="81"/>
      <c r="F14" s="42">
        <f>1583.448/1000</f>
        <v>1.5834480000000002</v>
      </c>
      <c r="H14" s="120">
        <f>1442813</f>
        <v>1442813</v>
      </c>
      <c r="I14" s="19">
        <f t="shared" si="1"/>
        <v>911.1843268613809</v>
      </c>
      <c r="J14" s="19"/>
    </row>
    <row r="15" spans="1:10" ht="12.75" customHeight="1">
      <c r="A15" s="8" t="s">
        <v>680</v>
      </c>
      <c r="B15" s="22">
        <v>2003</v>
      </c>
      <c r="C15" s="9" t="s">
        <v>473</v>
      </c>
      <c r="D15" s="10" t="s">
        <v>346</v>
      </c>
      <c r="E15" s="81"/>
      <c r="F15" s="42">
        <f>555.056/1000</f>
        <v>0.555056</v>
      </c>
      <c r="H15" s="120">
        <f>26455</f>
        <v>26455</v>
      </c>
      <c r="I15" s="19">
        <f>$H15/100/$F15</f>
        <v>476.6185754230204</v>
      </c>
      <c r="J15" s="19"/>
    </row>
    <row r="16" spans="1:10" ht="12.75" customHeight="1">
      <c r="A16" s="8" t="s">
        <v>680</v>
      </c>
      <c r="B16" s="22">
        <v>2003</v>
      </c>
      <c r="C16" s="9" t="s">
        <v>468</v>
      </c>
      <c r="D16" s="10" t="s">
        <v>317</v>
      </c>
      <c r="E16" s="81"/>
      <c r="F16" s="42">
        <f>724.804/1000</f>
        <v>0.724804</v>
      </c>
      <c r="H16" s="120">
        <f>1323036</f>
        <v>1323036</v>
      </c>
      <c r="I16" s="19">
        <f t="shared" si="1"/>
        <v>1825.3707209121362</v>
      </c>
      <c r="J16" s="19"/>
    </row>
    <row r="17" spans="1:10" ht="12.75" customHeight="1">
      <c r="A17" s="8" t="s">
        <v>680</v>
      </c>
      <c r="B17" s="22">
        <v>2003</v>
      </c>
      <c r="C17" s="9" t="s">
        <v>277</v>
      </c>
      <c r="D17" s="10" t="s">
        <v>318</v>
      </c>
      <c r="E17" s="81"/>
      <c r="F17" s="42">
        <f>1029.7/1000</f>
        <v>1.0297</v>
      </c>
      <c r="H17" s="120">
        <f>154419</f>
        <v>154419</v>
      </c>
      <c r="I17" s="19">
        <f t="shared" si="1"/>
        <v>149.96503836068757</v>
      </c>
      <c r="J17" s="19"/>
    </row>
    <row r="18" spans="1:10" ht="12.75" customHeight="1">
      <c r="A18" s="8" t="s">
        <v>680</v>
      </c>
      <c r="B18" s="22">
        <v>2003</v>
      </c>
      <c r="C18" s="9" t="s">
        <v>465</v>
      </c>
      <c r="D18" s="10" t="s">
        <v>334</v>
      </c>
      <c r="E18" s="81"/>
      <c r="F18" s="42">
        <f>1241.164/1000</f>
        <v>1.241164</v>
      </c>
      <c r="H18" s="120">
        <f>246525</f>
        <v>246525</v>
      </c>
      <c r="I18" s="19">
        <f t="shared" si="1"/>
        <v>198.62403356848895</v>
      </c>
      <c r="J18" s="19"/>
    </row>
    <row r="19" spans="1:10" ht="12.75" customHeight="1">
      <c r="A19" s="8" t="s">
        <v>680</v>
      </c>
      <c r="B19" s="22">
        <v>2003</v>
      </c>
      <c r="C19" s="9" t="s">
        <v>15</v>
      </c>
      <c r="D19" s="10" t="s">
        <v>312</v>
      </c>
      <c r="E19" s="81"/>
      <c r="F19" s="42">
        <f>698.19/1000</f>
        <v>0.6981900000000001</v>
      </c>
      <c r="H19" s="120">
        <f>780714</f>
        <v>780714</v>
      </c>
      <c r="I19" s="19">
        <f t="shared" si="1"/>
        <v>1118.1970523782925</v>
      </c>
      <c r="J19" s="19"/>
    </row>
    <row r="20" spans="1:10" ht="12.75" customHeight="1">
      <c r="A20" s="8" t="s">
        <v>680</v>
      </c>
      <c r="B20" s="22">
        <v>2003</v>
      </c>
      <c r="C20" s="9" t="s">
        <v>4</v>
      </c>
      <c r="D20" s="10" t="s">
        <v>330</v>
      </c>
      <c r="E20" s="81"/>
      <c r="F20" s="42">
        <f>1189.041/1000</f>
        <v>1.189041</v>
      </c>
      <c r="H20" s="120">
        <f>29270</f>
        <v>29270</v>
      </c>
      <c r="I20" s="19">
        <f>$H20/100/$F20</f>
        <v>246.16476639577607</v>
      </c>
      <c r="J20" s="19"/>
    </row>
    <row r="21" spans="1:10" ht="12.75" customHeight="1">
      <c r="A21" s="8" t="s">
        <v>680</v>
      </c>
      <c r="B21" s="22">
        <v>2003</v>
      </c>
      <c r="C21" s="9" t="s">
        <v>474</v>
      </c>
      <c r="D21" s="10" t="s">
        <v>322</v>
      </c>
      <c r="E21" s="81"/>
      <c r="F21" s="42">
        <f>0.025/1000</f>
        <v>2.5E-05</v>
      </c>
      <c r="G21" s="101" t="s">
        <v>10</v>
      </c>
      <c r="H21" s="120">
        <f>14</f>
        <v>14</v>
      </c>
      <c r="I21" s="69" t="s">
        <v>71</v>
      </c>
      <c r="J21" s="19"/>
    </row>
    <row r="22" spans="1:10" ht="12.75" customHeight="1">
      <c r="A22" s="8" t="s">
        <v>680</v>
      </c>
      <c r="B22" s="22">
        <v>2003</v>
      </c>
      <c r="C22" s="9" t="s">
        <v>6</v>
      </c>
      <c r="D22" s="10" t="s">
        <v>323</v>
      </c>
      <c r="E22" s="81"/>
      <c r="F22" s="42">
        <f>31.359/1000</f>
        <v>0.031359000000000005</v>
      </c>
      <c r="G22" s="101" t="s">
        <v>10</v>
      </c>
      <c r="H22" s="120">
        <f>37373</f>
        <v>37373</v>
      </c>
      <c r="I22" s="69" t="s">
        <v>71</v>
      </c>
      <c r="J22" s="19"/>
    </row>
    <row r="23" spans="1:10" ht="12.75" customHeight="1">
      <c r="A23" s="8" t="s">
        <v>680</v>
      </c>
      <c r="B23" s="22">
        <v>2003</v>
      </c>
      <c r="C23" s="9" t="s">
        <v>278</v>
      </c>
      <c r="D23" s="10" t="s">
        <v>316</v>
      </c>
      <c r="E23" s="81"/>
      <c r="F23" s="42">
        <f>12.114/1000</f>
        <v>0.012114000000000002</v>
      </c>
      <c r="G23" s="101" t="s">
        <v>10</v>
      </c>
      <c r="H23" s="120">
        <f>32352</f>
        <v>32352</v>
      </c>
      <c r="I23" s="69" t="s">
        <v>71</v>
      </c>
      <c r="J23" s="19"/>
    </row>
    <row r="24" spans="1:10" ht="12.75" customHeight="1">
      <c r="A24" s="8" t="s">
        <v>680</v>
      </c>
      <c r="B24" s="22">
        <v>2003</v>
      </c>
      <c r="C24" s="9" t="s">
        <v>475</v>
      </c>
      <c r="D24" s="10" t="s">
        <v>320</v>
      </c>
      <c r="E24" s="81"/>
      <c r="F24" s="42">
        <f>35.41/1000</f>
        <v>0.03541</v>
      </c>
      <c r="G24" s="101" t="s">
        <v>10</v>
      </c>
      <c r="H24" s="120">
        <f>17781</f>
        <v>17781</v>
      </c>
      <c r="I24" s="69" t="s">
        <v>71</v>
      </c>
      <c r="J24" s="19"/>
    </row>
    <row r="25" spans="1:10" ht="12.75" customHeight="1">
      <c r="A25" s="8" t="s">
        <v>680</v>
      </c>
      <c r="B25" s="22">
        <v>2003</v>
      </c>
      <c r="C25" s="9" t="s">
        <v>464</v>
      </c>
      <c r="D25" s="10" t="s">
        <v>324</v>
      </c>
      <c r="E25" s="81"/>
      <c r="F25" s="42">
        <f>1.37/1000</f>
        <v>0.0013700000000000001</v>
      </c>
      <c r="G25" s="101" t="s">
        <v>10</v>
      </c>
      <c r="H25" s="120">
        <f>2361</f>
        <v>2361</v>
      </c>
      <c r="I25" s="69" t="s">
        <v>71</v>
      </c>
      <c r="J25" s="19"/>
    </row>
    <row r="26" spans="1:10" ht="12.75" customHeight="1">
      <c r="A26" s="8" t="s">
        <v>680</v>
      </c>
      <c r="B26" s="22">
        <v>2003</v>
      </c>
      <c r="C26" s="9" t="s">
        <v>464</v>
      </c>
      <c r="D26" s="10" t="s">
        <v>353</v>
      </c>
      <c r="E26" s="81"/>
      <c r="F26" s="42">
        <f>0.021/1000</f>
        <v>2.1000000000000002E-05</v>
      </c>
      <c r="G26" s="101" t="s">
        <v>10</v>
      </c>
      <c r="H26" s="120">
        <f>107</f>
        <v>107</v>
      </c>
      <c r="I26" s="69" t="s">
        <v>71</v>
      </c>
      <c r="J26" s="19"/>
    </row>
    <row r="27" spans="1:10" ht="12.75" customHeight="1">
      <c r="A27" s="8" t="s">
        <v>680</v>
      </c>
      <c r="B27" s="22">
        <v>2003</v>
      </c>
      <c r="C27" s="9" t="s">
        <v>469</v>
      </c>
      <c r="D27" s="10" t="s">
        <v>337</v>
      </c>
      <c r="E27" s="81"/>
      <c r="F27" s="42">
        <f>68.527/1000</f>
        <v>0.068527</v>
      </c>
      <c r="G27" s="101" t="s">
        <v>10</v>
      </c>
      <c r="H27" s="120">
        <f>79023</f>
        <v>79023</v>
      </c>
      <c r="I27" s="69" t="s">
        <v>71</v>
      </c>
      <c r="J27" s="19"/>
    </row>
    <row r="28" spans="1:10" ht="12.75" customHeight="1">
      <c r="A28" s="8" t="s">
        <v>680</v>
      </c>
      <c r="B28" s="22">
        <v>2003</v>
      </c>
      <c r="C28" s="9" t="s">
        <v>292</v>
      </c>
      <c r="D28" s="10" t="s">
        <v>340</v>
      </c>
      <c r="E28" s="81"/>
      <c r="F28" s="42">
        <f>142.474/1000</f>
        <v>0.142474</v>
      </c>
      <c r="G28" s="101" t="s">
        <v>10</v>
      </c>
      <c r="H28" s="120">
        <f>697006</f>
        <v>697006</v>
      </c>
      <c r="I28" s="69" t="s">
        <v>71</v>
      </c>
      <c r="J28" s="19"/>
    </row>
    <row r="29" spans="1:10" ht="12.75" customHeight="1">
      <c r="A29" s="8" t="s">
        <v>680</v>
      </c>
      <c r="B29" s="22">
        <v>2003</v>
      </c>
      <c r="C29" s="9" t="s">
        <v>194</v>
      </c>
      <c r="D29" s="10" t="s">
        <v>339</v>
      </c>
      <c r="E29" s="81"/>
      <c r="F29" s="42">
        <f>21.455/1000</f>
        <v>0.021455</v>
      </c>
      <c r="G29" s="101" t="s">
        <v>10</v>
      </c>
      <c r="H29" s="120">
        <f>195319</f>
        <v>195319</v>
      </c>
      <c r="I29" s="69" t="s">
        <v>71</v>
      </c>
      <c r="J29" s="19"/>
    </row>
    <row r="30" spans="1:10" ht="12.75" customHeight="1">
      <c r="A30" s="8" t="s">
        <v>680</v>
      </c>
      <c r="B30" s="22">
        <v>2003</v>
      </c>
      <c r="C30" s="9" t="s">
        <v>3</v>
      </c>
      <c r="D30" s="10" t="s">
        <v>325</v>
      </c>
      <c r="E30" s="81"/>
      <c r="F30" s="42">
        <f>390.497/1000</f>
        <v>0.39049700000000004</v>
      </c>
      <c r="G30" s="101" t="s">
        <v>10</v>
      </c>
      <c r="H30" s="120">
        <f>1155613</f>
        <v>1155613</v>
      </c>
      <c r="I30" s="69" t="s">
        <v>71</v>
      </c>
      <c r="J30" s="19"/>
    </row>
    <row r="31" spans="1:10" ht="12.75" customHeight="1">
      <c r="A31" s="8" t="s">
        <v>680</v>
      </c>
      <c r="B31" s="22">
        <v>2003</v>
      </c>
      <c r="C31" s="9" t="s">
        <v>9</v>
      </c>
      <c r="D31" s="10" t="s">
        <v>332</v>
      </c>
      <c r="E31" s="81"/>
      <c r="F31" s="42">
        <f>25.89/1000</f>
        <v>0.02589</v>
      </c>
      <c r="G31" s="101" t="s">
        <v>10</v>
      </c>
      <c r="H31" s="120">
        <f>349000</f>
        <v>349000</v>
      </c>
      <c r="I31" s="69" t="s">
        <v>71</v>
      </c>
      <c r="J31" s="19"/>
    </row>
    <row r="32" spans="1:10" ht="12.75" customHeight="1">
      <c r="A32" s="8" t="s">
        <v>680</v>
      </c>
      <c r="B32" s="22">
        <v>2003</v>
      </c>
      <c r="C32" s="155" t="s">
        <v>477</v>
      </c>
      <c r="D32" s="10" t="s">
        <v>347</v>
      </c>
      <c r="E32" s="81"/>
      <c r="F32" s="42">
        <f>3.767/1000</f>
        <v>0.003767</v>
      </c>
      <c r="G32" s="101" t="s">
        <v>10</v>
      </c>
      <c r="H32" s="120">
        <f>14993</f>
        <v>14993</v>
      </c>
      <c r="I32" s="69" t="s">
        <v>71</v>
      </c>
      <c r="J32" s="19"/>
    </row>
    <row r="33" spans="1:10" ht="12.75" customHeight="1">
      <c r="A33" s="8" t="s">
        <v>680</v>
      </c>
      <c r="B33" s="22">
        <v>2003</v>
      </c>
      <c r="C33" s="9" t="s">
        <v>476</v>
      </c>
      <c r="D33" s="10" t="s">
        <v>342</v>
      </c>
      <c r="E33" s="81"/>
      <c r="F33" s="42">
        <f>35.836/1000</f>
        <v>0.035836</v>
      </c>
      <c r="G33" s="101" t="s">
        <v>10</v>
      </c>
      <c r="H33" s="120">
        <f>54614</f>
        <v>54614</v>
      </c>
      <c r="I33" s="69" t="s">
        <v>71</v>
      </c>
      <c r="J33" s="19"/>
    </row>
    <row r="34" spans="1:10" ht="12.75" customHeight="1">
      <c r="A34" s="8" t="s">
        <v>680</v>
      </c>
      <c r="B34" s="22">
        <v>2003</v>
      </c>
      <c r="C34" s="9" t="s">
        <v>279</v>
      </c>
      <c r="D34" s="10" t="s">
        <v>336</v>
      </c>
      <c r="E34" s="81"/>
      <c r="F34" s="42">
        <f>82.592/1000</f>
        <v>0.082592</v>
      </c>
      <c r="G34" s="101" t="s">
        <v>10</v>
      </c>
      <c r="H34" s="120">
        <f>48809</f>
        <v>48809</v>
      </c>
      <c r="I34" s="69" t="s">
        <v>71</v>
      </c>
      <c r="J34" s="19"/>
    </row>
    <row r="35" spans="1:10" ht="12.75" customHeight="1">
      <c r="A35" s="8" t="s">
        <v>680</v>
      </c>
      <c r="B35" s="22">
        <v>2003</v>
      </c>
      <c r="C35" s="9" t="s">
        <v>466</v>
      </c>
      <c r="D35" s="10" t="s">
        <v>348</v>
      </c>
      <c r="E35" s="81"/>
      <c r="F35" s="42">
        <f>41.761/1000</f>
        <v>0.041761</v>
      </c>
      <c r="G35" s="101" t="s">
        <v>10</v>
      </c>
      <c r="H35" s="120">
        <f>63760</f>
        <v>63760</v>
      </c>
      <c r="I35" s="69" t="s">
        <v>71</v>
      </c>
      <c r="J35" s="19"/>
    </row>
    <row r="36" spans="1:10" ht="12.75" customHeight="1">
      <c r="A36" s="8" t="s">
        <v>680</v>
      </c>
      <c r="B36" s="22">
        <v>2003</v>
      </c>
      <c r="C36" s="9" t="s">
        <v>65</v>
      </c>
      <c r="D36" s="10" t="s">
        <v>349</v>
      </c>
      <c r="E36" s="81"/>
      <c r="F36" s="42">
        <f>(46.208+308.931)/1000</f>
        <v>0.355139</v>
      </c>
      <c r="G36" s="101" t="s">
        <v>10</v>
      </c>
      <c r="H36" s="120">
        <f>(415107+17628)</f>
        <v>432735</v>
      </c>
      <c r="I36" s="69" t="s">
        <v>71</v>
      </c>
      <c r="J36" s="19"/>
    </row>
    <row r="37" spans="1:10" ht="12.75" customHeight="1">
      <c r="A37" s="8" t="s">
        <v>680</v>
      </c>
      <c r="B37" s="22">
        <v>2003</v>
      </c>
      <c r="C37" s="9" t="s">
        <v>193</v>
      </c>
      <c r="D37" s="10" t="s">
        <v>350</v>
      </c>
      <c r="E37" s="81"/>
      <c r="F37" s="42">
        <f>(0.006+2.062)/1000</f>
        <v>0.0020679999999999995</v>
      </c>
      <c r="G37" s="101" t="s">
        <v>10</v>
      </c>
      <c r="H37" s="120">
        <f>(7+619)</f>
        <v>626</v>
      </c>
      <c r="I37" s="69" t="s">
        <v>71</v>
      </c>
      <c r="J37" s="19"/>
    </row>
    <row r="38" spans="1:10" ht="12.75" customHeight="1">
      <c r="A38" s="8" t="s">
        <v>680</v>
      </c>
      <c r="B38" s="22">
        <v>2003</v>
      </c>
      <c r="C38" s="9" t="s">
        <v>43</v>
      </c>
      <c r="D38" s="10" t="s">
        <v>351</v>
      </c>
      <c r="E38" s="81"/>
      <c r="F38" s="42">
        <f>52.644/1000</f>
        <v>0.052643999999999996</v>
      </c>
      <c r="G38" s="101" t="s">
        <v>10</v>
      </c>
      <c r="H38" s="120">
        <f>43969</f>
        <v>43969</v>
      </c>
      <c r="I38" s="69" t="s">
        <v>71</v>
      </c>
      <c r="J38" s="19"/>
    </row>
    <row r="39" spans="1:10" ht="12.75" customHeight="1">
      <c r="A39" s="8" t="s">
        <v>680</v>
      </c>
      <c r="B39" s="22">
        <v>2003</v>
      </c>
      <c r="C39" s="9" t="s">
        <v>177</v>
      </c>
      <c r="D39" s="10" t="s">
        <v>333</v>
      </c>
      <c r="E39" s="81"/>
      <c r="F39" s="42">
        <f>3.779/1000</f>
        <v>0.003779</v>
      </c>
      <c r="G39" s="101" t="s">
        <v>10</v>
      </c>
      <c r="H39" s="120">
        <f>8885</f>
        <v>8885</v>
      </c>
      <c r="I39" s="69" t="s">
        <v>71</v>
      </c>
      <c r="J39" s="19"/>
    </row>
    <row r="40" spans="1:10" ht="12.75" customHeight="1">
      <c r="A40" s="8" t="s">
        <v>680</v>
      </c>
      <c r="B40" s="22">
        <v>2003</v>
      </c>
      <c r="C40" s="9" t="s">
        <v>11</v>
      </c>
      <c r="D40" s="10" t="s">
        <v>344</v>
      </c>
      <c r="E40" s="81"/>
      <c r="F40" s="42">
        <f>167.123/1000</f>
        <v>0.167123</v>
      </c>
      <c r="G40" s="101" t="s">
        <v>10</v>
      </c>
      <c r="H40" s="120">
        <f>359603</f>
        <v>359603</v>
      </c>
      <c r="I40" s="69" t="s">
        <v>71</v>
      </c>
      <c r="J40" s="19"/>
    </row>
    <row r="41" spans="1:10" ht="12.75" customHeight="1">
      <c r="A41" s="8" t="s">
        <v>680</v>
      </c>
      <c r="B41" s="22">
        <v>2003</v>
      </c>
      <c r="C41" s="9" t="s">
        <v>467</v>
      </c>
      <c r="D41" s="10" t="s">
        <v>345</v>
      </c>
      <c r="E41" s="81"/>
      <c r="F41" s="42">
        <f>246.988/1000</f>
        <v>0.246988</v>
      </c>
      <c r="G41" s="101" t="s">
        <v>10</v>
      </c>
      <c r="H41" s="120">
        <f>179873</f>
        <v>179873</v>
      </c>
      <c r="I41" s="69" t="s">
        <v>71</v>
      </c>
      <c r="J41" s="19"/>
    </row>
    <row r="42" spans="1:10" ht="12.75" customHeight="1">
      <c r="A42" s="8" t="s">
        <v>680</v>
      </c>
      <c r="B42" s="22">
        <v>2003</v>
      </c>
      <c r="C42" s="9" t="s">
        <v>467</v>
      </c>
      <c r="D42" s="10" t="s">
        <v>315</v>
      </c>
      <c r="E42" s="81"/>
      <c r="F42" s="42">
        <f>80.034/1000</f>
        <v>0.08003400000000001</v>
      </c>
      <c r="G42" s="101" t="s">
        <v>10</v>
      </c>
      <c r="H42" s="120">
        <f>55599</f>
        <v>55599</v>
      </c>
      <c r="I42" s="69" t="s">
        <v>71</v>
      </c>
      <c r="J42" s="19"/>
    </row>
    <row r="43" spans="1:10" ht="12.75" customHeight="1">
      <c r="A43" s="8" t="s">
        <v>680</v>
      </c>
      <c r="B43" s="22">
        <v>2003</v>
      </c>
      <c r="C43" s="9" t="s">
        <v>467</v>
      </c>
      <c r="D43" s="10" t="s">
        <v>313</v>
      </c>
      <c r="E43" s="81"/>
      <c r="F43" s="42">
        <f>58.808/1000</f>
        <v>0.058808</v>
      </c>
      <c r="G43" s="101" t="s">
        <v>10</v>
      </c>
      <c r="H43" s="120">
        <f>35983</f>
        <v>35983</v>
      </c>
      <c r="I43" s="69" t="s">
        <v>71</v>
      </c>
      <c r="J43" s="19"/>
    </row>
    <row r="44" spans="1:10" ht="12.75" customHeight="1">
      <c r="A44" s="8" t="s">
        <v>680</v>
      </c>
      <c r="B44" s="22">
        <v>2003</v>
      </c>
      <c r="C44" s="9" t="s">
        <v>467</v>
      </c>
      <c r="D44" s="10" t="s">
        <v>319</v>
      </c>
      <c r="E44" s="81"/>
      <c r="F44" s="42">
        <f>50.133/1000</f>
        <v>0.050133000000000004</v>
      </c>
      <c r="G44" s="101" t="s">
        <v>10</v>
      </c>
      <c r="H44" s="120">
        <f>27749</f>
        <v>27749</v>
      </c>
      <c r="I44" s="69" t="s">
        <v>71</v>
      </c>
      <c r="J44" s="19"/>
    </row>
    <row r="45" spans="1:10" ht="12.75" customHeight="1">
      <c r="A45" s="8" t="s">
        <v>680</v>
      </c>
      <c r="B45" s="22">
        <v>2003</v>
      </c>
      <c r="C45" s="9" t="s">
        <v>7</v>
      </c>
      <c r="D45" s="10" t="s">
        <v>376</v>
      </c>
      <c r="E45" s="81"/>
      <c r="F45" s="42">
        <f>(58.237+12.384)/1000</f>
        <v>0.070621</v>
      </c>
      <c r="G45" s="101" t="s">
        <v>10</v>
      </c>
      <c r="H45" s="120">
        <f>70654</f>
        <v>70654</v>
      </c>
      <c r="I45" s="69" t="s">
        <v>71</v>
      </c>
      <c r="J45" s="19"/>
    </row>
    <row r="46" spans="3:10" ht="12.75" customHeight="1">
      <c r="C46" s="8"/>
      <c r="D46" s="8"/>
      <c r="E46" s="78"/>
      <c r="F46" s="19"/>
      <c r="I46" s="21"/>
      <c r="J46" s="21"/>
    </row>
    <row r="47" spans="3:10" ht="3" customHeight="1">
      <c r="C47" s="8"/>
      <c r="D47" s="8"/>
      <c r="E47" s="78"/>
      <c r="F47" s="19"/>
      <c r="I47" s="21"/>
      <c r="J47" s="21"/>
    </row>
    <row r="48" spans="1:8" s="24" customFormat="1" ht="12.75" customHeight="1">
      <c r="A48" s="49" t="s">
        <v>30</v>
      </c>
      <c r="B48" s="36"/>
      <c r="C48" s="27"/>
      <c r="D48" s="27"/>
      <c r="E48" s="27"/>
      <c r="F48" s="27"/>
      <c r="G48" s="100"/>
      <c r="H48" s="121"/>
    </row>
    <row r="49" spans="1:9" ht="15" customHeight="1">
      <c r="A49" s="48" t="s">
        <v>88</v>
      </c>
      <c r="B49" s="22">
        <v>2003</v>
      </c>
      <c r="C49" s="9" t="s">
        <v>9</v>
      </c>
      <c r="D49" s="10" t="s">
        <v>332</v>
      </c>
      <c r="E49" s="81"/>
      <c r="F49" s="40">
        <v>3.567</v>
      </c>
      <c r="H49" s="123">
        <f>12.84*1000/6.588</f>
        <v>1948.998178506375</v>
      </c>
      <c r="I49" s="15">
        <f aca="true" t="shared" si="2" ref="I49:I61">$H49/$F49</f>
        <v>546.3970222894238</v>
      </c>
    </row>
    <row r="50" spans="1:9" ht="3" customHeight="1">
      <c r="A50" s="217"/>
      <c r="B50" s="166"/>
      <c r="C50" s="167"/>
      <c r="D50" s="165"/>
      <c r="E50" s="202"/>
      <c r="F50" s="169"/>
      <c r="G50" s="170"/>
      <c r="H50" s="171"/>
      <c r="I50" s="169"/>
    </row>
    <row r="51" spans="1:10" ht="12.75" customHeight="1">
      <c r="A51" s="48" t="s">
        <v>88</v>
      </c>
      <c r="B51" s="22">
        <v>2003</v>
      </c>
      <c r="C51" s="55" t="s">
        <v>718</v>
      </c>
      <c r="D51" s="10" t="s">
        <v>320</v>
      </c>
      <c r="E51" s="246"/>
      <c r="F51" s="356">
        <v>1.046</v>
      </c>
      <c r="H51" s="348">
        <f>4.172*1000/6.588</f>
        <v>633.2726168791743</v>
      </c>
      <c r="I51" s="344">
        <f t="shared" si="2"/>
        <v>605.423151892136</v>
      </c>
      <c r="J51" s="29"/>
    </row>
    <row r="52" spans="1:10" ht="12.75" customHeight="1">
      <c r="A52" s="48" t="s">
        <v>88</v>
      </c>
      <c r="B52" s="22">
        <v>2003</v>
      </c>
      <c r="C52" s="55" t="s">
        <v>276</v>
      </c>
      <c r="D52" s="10" t="s">
        <v>331</v>
      </c>
      <c r="E52" s="247"/>
      <c r="F52" s="356"/>
      <c r="H52" s="348"/>
      <c r="I52" s="344" t="e">
        <f t="shared" si="2"/>
        <v>#DIV/0!</v>
      </c>
      <c r="J52" s="29"/>
    </row>
    <row r="53" spans="1:10" ht="12.75" customHeight="1">
      <c r="A53" s="48" t="s">
        <v>88</v>
      </c>
      <c r="B53" s="22">
        <v>2003</v>
      </c>
      <c r="C53" s="55" t="s">
        <v>472</v>
      </c>
      <c r="D53" s="10" t="s">
        <v>348</v>
      </c>
      <c r="E53" s="248"/>
      <c r="F53" s="356"/>
      <c r="H53" s="348"/>
      <c r="I53" s="344" t="e">
        <f t="shared" si="2"/>
        <v>#DIV/0!</v>
      </c>
      <c r="J53" s="29"/>
    </row>
    <row r="54" spans="1:10" ht="3" customHeight="1">
      <c r="A54" s="217"/>
      <c r="B54" s="166"/>
      <c r="C54" s="185"/>
      <c r="D54" s="165"/>
      <c r="E54" s="202"/>
      <c r="F54" s="189"/>
      <c r="G54" s="170"/>
      <c r="H54" s="207"/>
      <c r="I54" s="189"/>
      <c r="J54" s="29"/>
    </row>
    <row r="55" spans="1:9" ht="12.75" customHeight="1">
      <c r="A55" s="48" t="s">
        <v>88</v>
      </c>
      <c r="B55" s="22">
        <v>2003</v>
      </c>
      <c r="C55" s="9" t="s">
        <v>6</v>
      </c>
      <c r="D55" s="10" t="s">
        <v>323</v>
      </c>
      <c r="E55" s="81"/>
      <c r="F55" s="40">
        <v>0.04</v>
      </c>
      <c r="G55" s="101" t="s">
        <v>10</v>
      </c>
      <c r="H55" s="123">
        <f>0.172*1000/6.588</f>
        <v>26.108075288403157</v>
      </c>
      <c r="I55" s="15">
        <f t="shared" si="2"/>
        <v>652.7018822100789</v>
      </c>
    </row>
    <row r="56" spans="1:9" ht="3" customHeight="1">
      <c r="A56" s="217"/>
      <c r="B56" s="166"/>
      <c r="C56" s="167"/>
      <c r="D56" s="165"/>
      <c r="E56" s="202"/>
      <c r="F56" s="169"/>
      <c r="G56" s="170"/>
      <c r="H56" s="171"/>
      <c r="I56" s="169"/>
    </row>
    <row r="57" spans="1:10" ht="12.75" customHeight="1">
      <c r="A57" s="48" t="s">
        <v>88</v>
      </c>
      <c r="B57" s="22">
        <v>2003</v>
      </c>
      <c r="C57" s="55" t="s">
        <v>64</v>
      </c>
      <c r="D57" s="10" t="s">
        <v>315</v>
      </c>
      <c r="E57" s="246"/>
      <c r="F57" s="345">
        <v>0.033</v>
      </c>
      <c r="G57" s="346" t="s">
        <v>10</v>
      </c>
      <c r="H57" s="348">
        <f>0.154*1000/6.588</f>
        <v>23.375834851244687</v>
      </c>
      <c r="I57" s="344">
        <f t="shared" si="2"/>
        <v>708.3586318558996</v>
      </c>
      <c r="J57" s="29"/>
    </row>
    <row r="58" spans="1:10" ht="12.75" customHeight="1">
      <c r="A58" s="48" t="s">
        <v>88</v>
      </c>
      <c r="B58" s="22">
        <v>2003</v>
      </c>
      <c r="C58" s="55" t="s">
        <v>467</v>
      </c>
      <c r="D58" s="10" t="s">
        <v>354</v>
      </c>
      <c r="E58" s="247"/>
      <c r="F58" s="345"/>
      <c r="G58" s="346"/>
      <c r="H58" s="348"/>
      <c r="I58" s="344" t="e">
        <f t="shared" si="2"/>
        <v>#DIV/0!</v>
      </c>
      <c r="J58" s="29"/>
    </row>
    <row r="59" spans="1:10" ht="12.75" customHeight="1">
      <c r="A59" s="48" t="s">
        <v>88</v>
      </c>
      <c r="B59" s="22">
        <v>2003</v>
      </c>
      <c r="C59" s="55" t="s">
        <v>14</v>
      </c>
      <c r="D59" s="10" t="s">
        <v>345</v>
      </c>
      <c r="E59" s="248"/>
      <c r="F59" s="345"/>
      <c r="G59" s="346"/>
      <c r="H59" s="348"/>
      <c r="I59" s="344" t="e">
        <f t="shared" si="2"/>
        <v>#DIV/0!</v>
      </c>
      <c r="J59" s="29"/>
    </row>
    <row r="60" spans="1:10" ht="3" customHeight="1">
      <c r="A60" s="217"/>
      <c r="B60" s="166"/>
      <c r="C60" s="185"/>
      <c r="D60" s="165"/>
      <c r="E60" s="202"/>
      <c r="F60" s="189"/>
      <c r="G60" s="206"/>
      <c r="H60" s="207"/>
      <c r="I60" s="189"/>
      <c r="J60" s="29"/>
    </row>
    <row r="61" spans="1:9" ht="12.75" customHeight="1">
      <c r="A61" s="48" t="s">
        <v>88</v>
      </c>
      <c r="B61" s="22">
        <v>2003</v>
      </c>
      <c r="D61" s="10" t="s">
        <v>482</v>
      </c>
      <c r="E61" s="81"/>
      <c r="F61" s="40">
        <v>1.931</v>
      </c>
      <c r="H61" s="123">
        <f>12.272*1000/6.588</f>
        <v>1862.7808136004858</v>
      </c>
      <c r="I61" s="15">
        <f t="shared" si="2"/>
        <v>964.6715761783976</v>
      </c>
    </row>
    <row r="62" spans="1:9" ht="12.75" customHeight="1">
      <c r="A62" s="217"/>
      <c r="B62" s="166"/>
      <c r="C62" s="167"/>
      <c r="D62" s="165"/>
      <c r="E62" s="202"/>
      <c r="F62" s="169"/>
      <c r="G62" s="170"/>
      <c r="H62" s="171"/>
      <c r="I62" s="169"/>
    </row>
    <row r="63" spans="1:9" ht="12.75" customHeight="1">
      <c r="A63" s="48" t="s">
        <v>88</v>
      </c>
      <c r="B63" s="22">
        <v>2004</v>
      </c>
      <c r="C63" s="9" t="s">
        <v>9</v>
      </c>
      <c r="D63" s="10" t="s">
        <v>332</v>
      </c>
      <c r="E63" s="81"/>
      <c r="F63" s="40">
        <v>1.408</v>
      </c>
      <c r="H63" s="123">
        <f>6.843928*1000/5.991</f>
        <v>1142.3682189951594</v>
      </c>
      <c r="I63" s="15">
        <f aca="true" t="shared" si="3" ref="I63:I75">$H63/$F63</f>
        <v>811.3410646272439</v>
      </c>
    </row>
    <row r="64" spans="1:9" ht="3" customHeight="1">
      <c r="A64" s="217"/>
      <c r="B64" s="166"/>
      <c r="C64" s="167"/>
      <c r="D64" s="165"/>
      <c r="E64" s="202"/>
      <c r="F64" s="169"/>
      <c r="G64" s="170"/>
      <c r="H64" s="171"/>
      <c r="I64" s="169"/>
    </row>
    <row r="65" spans="1:9" ht="12.75" customHeight="1">
      <c r="A65" s="48" t="s">
        <v>88</v>
      </c>
      <c r="B65" s="22">
        <v>2004</v>
      </c>
      <c r="C65" s="55" t="s">
        <v>718</v>
      </c>
      <c r="D65" s="10" t="s">
        <v>320</v>
      </c>
      <c r="E65" s="246"/>
      <c r="F65" s="356">
        <v>0.742</v>
      </c>
      <c r="H65" s="348">
        <f>2.717471*1000/5.991</f>
        <v>453.5922216658321</v>
      </c>
      <c r="I65" s="344">
        <f t="shared" si="3"/>
        <v>611.3102717868358</v>
      </c>
    </row>
    <row r="66" spans="1:9" ht="12.75" customHeight="1">
      <c r="A66" s="48" t="s">
        <v>88</v>
      </c>
      <c r="B66" s="22">
        <v>2004</v>
      </c>
      <c r="C66" s="55" t="s">
        <v>276</v>
      </c>
      <c r="D66" s="10" t="s">
        <v>331</v>
      </c>
      <c r="E66" s="247"/>
      <c r="F66" s="356"/>
      <c r="H66" s="348"/>
      <c r="I66" s="344" t="e">
        <f t="shared" si="3"/>
        <v>#DIV/0!</v>
      </c>
    </row>
    <row r="67" spans="1:9" ht="12.75" customHeight="1">
      <c r="A67" s="48" t="s">
        <v>88</v>
      </c>
      <c r="B67" s="22">
        <v>2004</v>
      </c>
      <c r="C67" s="55" t="s">
        <v>472</v>
      </c>
      <c r="D67" s="10" t="s">
        <v>348</v>
      </c>
      <c r="E67" s="248"/>
      <c r="F67" s="356"/>
      <c r="H67" s="348"/>
      <c r="I67" s="344" t="e">
        <f t="shared" si="3"/>
        <v>#DIV/0!</v>
      </c>
    </row>
    <row r="68" spans="1:9" ht="3" customHeight="1">
      <c r="A68" s="217"/>
      <c r="B68" s="166"/>
      <c r="C68" s="185"/>
      <c r="D68" s="165"/>
      <c r="E68" s="202"/>
      <c r="F68" s="189"/>
      <c r="G68" s="170"/>
      <c r="H68" s="207"/>
      <c r="I68" s="189"/>
    </row>
    <row r="69" spans="1:9" ht="12.75" customHeight="1">
      <c r="A69" s="48" t="s">
        <v>88</v>
      </c>
      <c r="B69" s="22">
        <v>2004</v>
      </c>
      <c r="C69" s="9" t="s">
        <v>6</v>
      </c>
      <c r="D69" s="10" t="s">
        <v>323</v>
      </c>
      <c r="E69" s="81"/>
      <c r="F69" s="40">
        <v>0.184</v>
      </c>
      <c r="G69" s="101" t="s">
        <v>10</v>
      </c>
      <c r="H69" s="123">
        <f>0.900082*1000/5.991</f>
        <v>150.2390252044734</v>
      </c>
      <c r="I69" s="15">
        <f t="shared" si="3"/>
        <v>816.5164413286598</v>
      </c>
    </row>
    <row r="70" spans="1:9" ht="3" customHeight="1">
      <c r="A70" s="217"/>
      <c r="B70" s="166"/>
      <c r="C70" s="167"/>
      <c r="D70" s="165"/>
      <c r="E70" s="202"/>
      <c r="F70" s="169"/>
      <c r="G70" s="170"/>
      <c r="H70" s="171"/>
      <c r="I70" s="169"/>
    </row>
    <row r="71" spans="1:9" ht="12.75" customHeight="1">
      <c r="A71" s="48" t="s">
        <v>88</v>
      </c>
      <c r="B71" s="22">
        <v>2004</v>
      </c>
      <c r="C71" s="55" t="s">
        <v>64</v>
      </c>
      <c r="D71" s="10" t="s">
        <v>315</v>
      </c>
      <c r="E71" s="246"/>
      <c r="F71" s="345">
        <v>0.301</v>
      </c>
      <c r="G71" s="346" t="s">
        <v>10</v>
      </c>
      <c r="H71" s="348">
        <f>1.342283*1000/5.991</f>
        <v>224.04990819562676</v>
      </c>
      <c r="I71" s="344">
        <f t="shared" si="3"/>
        <v>744.3518544705208</v>
      </c>
    </row>
    <row r="72" spans="1:9" ht="12.75" customHeight="1">
      <c r="A72" s="48" t="s">
        <v>88</v>
      </c>
      <c r="B72" s="22">
        <v>2004</v>
      </c>
      <c r="C72" s="55" t="s">
        <v>467</v>
      </c>
      <c r="D72" s="10" t="s">
        <v>354</v>
      </c>
      <c r="E72" s="247"/>
      <c r="F72" s="345"/>
      <c r="G72" s="346"/>
      <c r="H72" s="348"/>
      <c r="I72" s="344" t="e">
        <f t="shared" si="3"/>
        <v>#DIV/0!</v>
      </c>
    </row>
    <row r="73" spans="1:9" ht="12.75" customHeight="1">
      <c r="A73" s="48" t="s">
        <v>88</v>
      </c>
      <c r="B73" s="22">
        <v>2004</v>
      </c>
      <c r="C73" s="55" t="s">
        <v>14</v>
      </c>
      <c r="D73" s="10" t="s">
        <v>345</v>
      </c>
      <c r="E73" s="248"/>
      <c r="F73" s="345"/>
      <c r="G73" s="346"/>
      <c r="H73" s="348"/>
      <c r="I73" s="344" t="e">
        <f t="shared" si="3"/>
        <v>#DIV/0!</v>
      </c>
    </row>
    <row r="74" spans="1:9" ht="3" customHeight="1">
      <c r="A74" s="217"/>
      <c r="B74" s="166"/>
      <c r="C74" s="185"/>
      <c r="D74" s="165"/>
      <c r="E74" s="202"/>
      <c r="F74" s="189"/>
      <c r="G74" s="206"/>
      <c r="H74" s="207"/>
      <c r="I74" s="189"/>
    </row>
    <row r="75" spans="1:9" ht="12.75" customHeight="1">
      <c r="A75" s="48" t="s">
        <v>88</v>
      </c>
      <c r="B75" s="22">
        <v>2004</v>
      </c>
      <c r="D75" s="10" t="s">
        <v>482</v>
      </c>
      <c r="E75" s="81"/>
      <c r="F75" s="40">
        <v>2.099</v>
      </c>
      <c r="H75" s="123">
        <f>10.076636*1000/5.991</f>
        <v>1681.9622767484561</v>
      </c>
      <c r="I75" s="15">
        <f t="shared" si="3"/>
        <v>801.3159965452387</v>
      </c>
    </row>
    <row r="76" spans="1:9" ht="12.75" customHeight="1">
      <c r="A76" s="217"/>
      <c r="B76" s="166"/>
      <c r="C76" s="167"/>
      <c r="D76" s="165"/>
      <c r="E76" s="202"/>
      <c r="F76" s="169"/>
      <c r="G76" s="170"/>
      <c r="H76" s="171"/>
      <c r="I76" s="169"/>
    </row>
    <row r="77" spans="1:10" ht="12.75" customHeight="1">
      <c r="A77" s="48" t="s">
        <v>83</v>
      </c>
      <c r="B77" s="22" t="s">
        <v>682</v>
      </c>
      <c r="C77" s="8" t="s">
        <v>531</v>
      </c>
      <c r="D77" s="8" t="s">
        <v>42</v>
      </c>
      <c r="E77" s="78"/>
      <c r="F77" s="15">
        <v>0</v>
      </c>
      <c r="G77" s="101" t="s">
        <v>10</v>
      </c>
      <c r="H77" s="125" t="s">
        <v>71</v>
      </c>
      <c r="I77" s="69" t="s">
        <v>71</v>
      </c>
      <c r="J77" s="69"/>
    </row>
    <row r="78" spans="1:9" ht="12.75" customHeight="1">
      <c r="A78" s="217"/>
      <c r="B78" s="166"/>
      <c r="C78" s="167"/>
      <c r="D78" s="165"/>
      <c r="E78" s="202"/>
      <c r="F78" s="169"/>
      <c r="G78" s="170"/>
      <c r="H78" s="171"/>
      <c r="I78" s="169"/>
    </row>
    <row r="79" spans="1:10" ht="12.75" customHeight="1">
      <c r="A79" s="48" t="s">
        <v>83</v>
      </c>
      <c r="B79" s="22">
        <v>2004</v>
      </c>
      <c r="C79" s="251" t="s">
        <v>531</v>
      </c>
      <c r="D79" s="8" t="s">
        <v>42</v>
      </c>
      <c r="E79" s="78"/>
      <c r="F79" s="15">
        <v>0</v>
      </c>
      <c r="G79" s="101" t="s">
        <v>10</v>
      </c>
      <c r="H79" s="125" t="s">
        <v>71</v>
      </c>
      <c r="I79" s="69" t="s">
        <v>71</v>
      </c>
      <c r="J79" s="69"/>
    </row>
    <row r="80" spans="1:8" ht="12.75" customHeight="1">
      <c r="A80" s="48"/>
      <c r="E80" s="81"/>
      <c r="F80" s="40"/>
      <c r="H80" s="123"/>
    </row>
    <row r="81" spans="1:9" ht="12.75" customHeight="1">
      <c r="A81" s="48" t="s">
        <v>87</v>
      </c>
      <c r="B81" s="22">
        <v>2003</v>
      </c>
      <c r="C81" s="9" t="s">
        <v>6</v>
      </c>
      <c r="D81" s="10" t="s">
        <v>323</v>
      </c>
      <c r="E81" s="81"/>
      <c r="F81" s="40">
        <v>233.978454</v>
      </c>
      <c r="H81" s="123">
        <f>47358/0.88603</f>
        <v>53449.657460808325</v>
      </c>
      <c r="I81" s="15">
        <f>$H81/$F81</f>
        <v>228.43837347864655</v>
      </c>
    </row>
    <row r="82" spans="1:9" ht="3" customHeight="1">
      <c r="A82" s="217"/>
      <c r="B82" s="166"/>
      <c r="C82" s="167"/>
      <c r="D82" s="165"/>
      <c r="E82" s="202"/>
      <c r="F82" s="169"/>
      <c r="G82" s="170"/>
      <c r="H82" s="171"/>
      <c r="I82" s="169"/>
    </row>
    <row r="83" spans="1:9" ht="12.75" customHeight="1">
      <c r="A83" s="48" t="s">
        <v>87</v>
      </c>
      <c r="B83" s="22">
        <v>2003</v>
      </c>
      <c r="C83" s="55" t="s">
        <v>718</v>
      </c>
      <c r="D83" s="10" t="s">
        <v>320</v>
      </c>
      <c r="E83" s="246"/>
      <c r="F83" s="356">
        <v>68.196125</v>
      </c>
      <c r="H83" s="348">
        <f>19295/0.88603</f>
        <v>21776.915002878006</v>
      </c>
      <c r="I83" s="344">
        <f>$H83/$F83</f>
        <v>319.32774776980375</v>
      </c>
    </row>
    <row r="84" spans="1:9" ht="12.75" customHeight="1">
      <c r="A84" s="48" t="s">
        <v>87</v>
      </c>
      <c r="B84" s="22">
        <v>2003</v>
      </c>
      <c r="C84" s="55" t="s">
        <v>276</v>
      </c>
      <c r="D84" s="10" t="s">
        <v>331</v>
      </c>
      <c r="E84" s="247"/>
      <c r="F84" s="356"/>
      <c r="H84" s="348"/>
      <c r="I84" s="344" t="e">
        <f>$H84/$F84</f>
        <v>#DIV/0!</v>
      </c>
    </row>
    <row r="85" spans="1:9" ht="12.75" customHeight="1">
      <c r="A85" s="48" t="s">
        <v>87</v>
      </c>
      <c r="B85" s="22">
        <v>2003</v>
      </c>
      <c r="C85" s="55" t="s">
        <v>472</v>
      </c>
      <c r="D85" s="10" t="s">
        <v>348</v>
      </c>
      <c r="E85" s="248"/>
      <c r="F85" s="356"/>
      <c r="H85" s="348"/>
      <c r="I85" s="344" t="e">
        <f>$H85/$F85</f>
        <v>#DIV/0!</v>
      </c>
    </row>
    <row r="86" spans="1:9" ht="3" customHeight="1">
      <c r="A86" s="217"/>
      <c r="B86" s="166"/>
      <c r="C86" s="167"/>
      <c r="D86" s="165"/>
      <c r="E86" s="202"/>
      <c r="F86" s="169"/>
      <c r="G86" s="170"/>
      <c r="H86" s="171"/>
      <c r="I86" s="169"/>
    </row>
    <row r="87" spans="1:9" ht="12.75" customHeight="1">
      <c r="A87" s="48" t="s">
        <v>87</v>
      </c>
      <c r="B87" s="22">
        <v>2003</v>
      </c>
      <c r="C87" s="55" t="s">
        <v>64</v>
      </c>
      <c r="D87" s="10" t="s">
        <v>315</v>
      </c>
      <c r="E87" s="246"/>
      <c r="F87" s="345">
        <v>0.899625</v>
      </c>
      <c r="G87" s="346"/>
      <c r="H87" s="348">
        <f>688/0.88603</f>
        <v>776.4974097942508</v>
      </c>
      <c r="I87" s="344">
        <f>$H87/$F87</f>
        <v>863.1345391627075</v>
      </c>
    </row>
    <row r="88" spans="1:9" ht="12.75" customHeight="1">
      <c r="A88" s="48" t="s">
        <v>87</v>
      </c>
      <c r="B88" s="22">
        <v>2003</v>
      </c>
      <c r="C88" s="55" t="s">
        <v>467</v>
      </c>
      <c r="D88" s="10" t="s">
        <v>354</v>
      </c>
      <c r="E88" s="247"/>
      <c r="F88" s="345"/>
      <c r="G88" s="346"/>
      <c r="H88" s="348"/>
      <c r="I88" s="344" t="e">
        <f>$H88/$F88</f>
        <v>#DIV/0!</v>
      </c>
    </row>
    <row r="89" spans="1:9" ht="12.75" customHeight="1">
      <c r="A89" s="48" t="s">
        <v>87</v>
      </c>
      <c r="B89" s="22">
        <v>2003</v>
      </c>
      <c r="C89" s="55" t="s">
        <v>14</v>
      </c>
      <c r="D89" s="10" t="s">
        <v>345</v>
      </c>
      <c r="E89" s="248"/>
      <c r="F89" s="345"/>
      <c r="G89" s="346"/>
      <c r="H89" s="348"/>
      <c r="I89" s="344" t="e">
        <f>$H89/$F89</f>
        <v>#DIV/0!</v>
      </c>
    </row>
    <row r="90" spans="1:9" ht="3" customHeight="1">
      <c r="A90" s="217"/>
      <c r="B90" s="166"/>
      <c r="C90" s="185"/>
      <c r="D90" s="165"/>
      <c r="E90" s="202"/>
      <c r="F90" s="189"/>
      <c r="G90" s="206"/>
      <c r="H90" s="207"/>
      <c r="I90" s="189"/>
    </row>
    <row r="91" spans="1:9" ht="12.75" customHeight="1">
      <c r="A91" s="48" t="s">
        <v>87</v>
      </c>
      <c r="B91" s="22">
        <v>2003</v>
      </c>
      <c r="C91" s="9" t="s">
        <v>9</v>
      </c>
      <c r="D91" s="10" t="s">
        <v>332</v>
      </c>
      <c r="E91" s="81"/>
      <c r="F91" s="40">
        <v>24.61025</v>
      </c>
      <c r="H91" s="123">
        <f>8614/0.88603</f>
        <v>9722.018441813483</v>
      </c>
      <c r="I91" s="15">
        <f>$H91/$F91</f>
        <v>395.039401948923</v>
      </c>
    </row>
    <row r="92" spans="1:9" ht="12.75" customHeight="1">
      <c r="A92" s="48" t="s">
        <v>87</v>
      </c>
      <c r="B92" s="22">
        <v>2003</v>
      </c>
      <c r="C92" s="8"/>
      <c r="D92" s="8" t="s">
        <v>482</v>
      </c>
      <c r="E92" s="78"/>
      <c r="F92" s="15">
        <v>251.450875</v>
      </c>
      <c r="H92" s="123">
        <f>57970/0.88603</f>
        <v>65426.6785549022</v>
      </c>
      <c r="I92" s="15">
        <f>$H92/$F92</f>
        <v>260.19666288654673</v>
      </c>
    </row>
    <row r="93" spans="1:9" ht="12.75" customHeight="1">
      <c r="A93" s="217"/>
      <c r="B93" s="166"/>
      <c r="C93" s="165"/>
      <c r="D93" s="165"/>
      <c r="E93" s="202"/>
      <c r="F93" s="169"/>
      <c r="G93" s="170"/>
      <c r="H93" s="171"/>
      <c r="I93" s="169"/>
    </row>
    <row r="94" spans="1:9" ht="12.75" customHeight="1">
      <c r="A94" s="48" t="s">
        <v>87</v>
      </c>
      <c r="B94" s="22">
        <v>2004</v>
      </c>
      <c r="C94" s="9" t="s">
        <v>6</v>
      </c>
      <c r="D94" s="10" t="s">
        <v>323</v>
      </c>
      <c r="E94" s="81"/>
      <c r="F94" s="40">
        <v>195.04742400000003</v>
      </c>
      <c r="H94" s="123">
        <f>39016/0.80537</f>
        <v>48444.814184784635</v>
      </c>
      <c r="I94" s="15">
        <f aca="true" t="shared" si="4" ref="I94:I106">$H94/$F94</f>
        <v>248.37453984926572</v>
      </c>
    </row>
    <row r="95" spans="1:9" ht="3" customHeight="1">
      <c r="A95" s="217"/>
      <c r="B95" s="166"/>
      <c r="C95" s="167"/>
      <c r="D95" s="165"/>
      <c r="E95" s="202"/>
      <c r="F95" s="169"/>
      <c r="G95" s="170"/>
      <c r="H95" s="171"/>
      <c r="I95" s="169"/>
    </row>
    <row r="96" spans="1:9" ht="12.75" customHeight="1">
      <c r="A96" s="48" t="s">
        <v>87</v>
      </c>
      <c r="B96" s="22">
        <v>2004</v>
      </c>
      <c r="C96" s="55" t="s">
        <v>718</v>
      </c>
      <c r="D96" s="10" t="s">
        <v>320</v>
      </c>
      <c r="E96" s="246"/>
      <c r="F96" s="345">
        <v>78.85675</v>
      </c>
      <c r="H96" s="348">
        <f>24283/0.80537</f>
        <v>30151.35900269441</v>
      </c>
      <c r="I96" s="344">
        <f t="shared" si="4"/>
        <v>382.35609510529423</v>
      </c>
    </row>
    <row r="97" spans="1:9" ht="12.75" customHeight="1">
      <c r="A97" s="48" t="s">
        <v>87</v>
      </c>
      <c r="B97" s="22">
        <v>2004</v>
      </c>
      <c r="C97" s="55" t="s">
        <v>276</v>
      </c>
      <c r="D97" s="10" t="s">
        <v>331</v>
      </c>
      <c r="E97" s="247"/>
      <c r="F97" s="345"/>
      <c r="H97" s="348"/>
      <c r="I97" s="344" t="e">
        <f t="shared" si="4"/>
        <v>#DIV/0!</v>
      </c>
    </row>
    <row r="98" spans="1:9" ht="12.75" customHeight="1">
      <c r="A98" s="48" t="s">
        <v>87</v>
      </c>
      <c r="B98" s="22">
        <v>2004</v>
      </c>
      <c r="C98" s="55" t="s">
        <v>472</v>
      </c>
      <c r="D98" s="10" t="s">
        <v>348</v>
      </c>
      <c r="E98" s="248"/>
      <c r="F98" s="345"/>
      <c r="H98" s="348"/>
      <c r="I98" s="344" t="e">
        <f t="shared" si="4"/>
        <v>#DIV/0!</v>
      </c>
    </row>
    <row r="99" spans="1:9" ht="3" customHeight="1">
      <c r="A99" s="217"/>
      <c r="B99" s="166"/>
      <c r="C99" s="185"/>
      <c r="D99" s="165"/>
      <c r="E99" s="202"/>
      <c r="F99" s="189"/>
      <c r="G99" s="170"/>
      <c r="H99" s="207"/>
      <c r="I99" s="189"/>
    </row>
    <row r="100" spans="1:9" ht="12.75" customHeight="1">
      <c r="A100" s="48" t="s">
        <v>87</v>
      </c>
      <c r="B100" s="22">
        <v>2004</v>
      </c>
      <c r="C100" s="9" t="s">
        <v>9</v>
      </c>
      <c r="D100" s="10" t="s">
        <v>332</v>
      </c>
      <c r="E100" s="81"/>
      <c r="F100" s="40">
        <v>43.065125</v>
      </c>
      <c r="H100" s="123">
        <f>16605/0.80537</f>
        <v>20617.852663992948</v>
      </c>
      <c r="I100" s="15">
        <f t="shared" si="4"/>
        <v>478.7598471847683</v>
      </c>
    </row>
    <row r="101" spans="1:9" ht="3" customHeight="1">
      <c r="A101" s="217"/>
      <c r="B101" s="166"/>
      <c r="C101" s="167"/>
      <c r="D101" s="165"/>
      <c r="E101" s="202"/>
      <c r="F101" s="169"/>
      <c r="G101" s="170"/>
      <c r="H101" s="171"/>
      <c r="I101" s="169"/>
    </row>
    <row r="102" spans="1:9" ht="12.75" customHeight="1">
      <c r="A102" s="48" t="s">
        <v>87</v>
      </c>
      <c r="B102" s="22">
        <v>2004</v>
      </c>
      <c r="C102" s="55" t="s">
        <v>64</v>
      </c>
      <c r="D102" s="10" t="s">
        <v>315</v>
      </c>
      <c r="E102" s="246"/>
      <c r="F102" s="345">
        <v>0.57225</v>
      </c>
      <c r="G102" s="346"/>
      <c r="H102" s="348">
        <f>429/0.80537</f>
        <v>532.6744229360418</v>
      </c>
      <c r="I102" s="344">
        <f t="shared" si="4"/>
        <v>930.8421545409204</v>
      </c>
    </row>
    <row r="103" spans="1:9" ht="12.75" customHeight="1">
      <c r="A103" s="48" t="s">
        <v>87</v>
      </c>
      <c r="B103" s="22">
        <v>2004</v>
      </c>
      <c r="C103" s="55" t="s">
        <v>467</v>
      </c>
      <c r="D103" s="10" t="s">
        <v>354</v>
      </c>
      <c r="E103" s="247"/>
      <c r="F103" s="345"/>
      <c r="G103" s="346"/>
      <c r="H103" s="348"/>
      <c r="I103" s="344" t="e">
        <f t="shared" si="4"/>
        <v>#DIV/0!</v>
      </c>
    </row>
    <row r="104" spans="1:9" ht="12.75" customHeight="1">
      <c r="A104" s="48" t="s">
        <v>87</v>
      </c>
      <c r="B104" s="22">
        <v>2004</v>
      </c>
      <c r="C104" s="55" t="s">
        <v>14</v>
      </c>
      <c r="D104" s="10" t="s">
        <v>345</v>
      </c>
      <c r="E104" s="248"/>
      <c r="F104" s="345"/>
      <c r="G104" s="346"/>
      <c r="H104" s="348"/>
      <c r="I104" s="344" t="e">
        <f t="shared" si="4"/>
        <v>#DIV/0!</v>
      </c>
    </row>
    <row r="105" spans="1:9" ht="3" customHeight="1">
      <c r="A105" s="217"/>
      <c r="B105" s="166"/>
      <c r="C105" s="185"/>
      <c r="D105" s="165"/>
      <c r="E105" s="202"/>
      <c r="F105" s="189"/>
      <c r="G105" s="206"/>
      <c r="H105" s="207"/>
      <c r="I105" s="189"/>
    </row>
    <row r="106" spans="1:9" ht="12.75" customHeight="1">
      <c r="A106" s="48" t="s">
        <v>87</v>
      </c>
      <c r="B106" s="22">
        <v>2004</v>
      </c>
      <c r="C106" s="8"/>
      <c r="D106" s="8" t="s">
        <v>482</v>
      </c>
      <c r="E106" s="78"/>
      <c r="F106" s="15">
        <v>188.813375</v>
      </c>
      <c r="H106" s="123">
        <f>48642/0.80537</f>
        <v>60397.08456982505</v>
      </c>
      <c r="I106" s="15">
        <f t="shared" si="4"/>
        <v>319.8771515514992</v>
      </c>
    </row>
    <row r="107" spans="1:9" ht="12.75" customHeight="1">
      <c r="A107" s="217"/>
      <c r="B107" s="166"/>
      <c r="C107" s="165"/>
      <c r="D107" s="165"/>
      <c r="E107" s="202"/>
      <c r="F107" s="169"/>
      <c r="G107" s="170"/>
      <c r="H107" s="171"/>
      <c r="I107" s="169"/>
    </row>
    <row r="108" spans="1:9" ht="12.75" customHeight="1">
      <c r="A108" s="48" t="s">
        <v>534</v>
      </c>
      <c r="B108" s="22">
        <v>2003</v>
      </c>
      <c r="C108" s="55" t="s">
        <v>14</v>
      </c>
      <c r="D108" s="10" t="s">
        <v>345</v>
      </c>
      <c r="E108" s="252"/>
      <c r="F108" s="345">
        <v>0.904</v>
      </c>
      <c r="G108" s="100"/>
      <c r="H108" s="351">
        <f>625.88/0.88603</f>
        <v>706.386916921549</v>
      </c>
      <c r="I108" s="347">
        <f>$H108/$F108</f>
        <v>781.4014567716249</v>
      </c>
    </row>
    <row r="109" spans="1:9" ht="12.75" customHeight="1">
      <c r="A109" s="48" t="s">
        <v>534</v>
      </c>
      <c r="B109" s="22">
        <v>2003</v>
      </c>
      <c r="C109" s="55" t="s">
        <v>467</v>
      </c>
      <c r="D109" s="10" t="s">
        <v>315</v>
      </c>
      <c r="E109" s="253"/>
      <c r="F109" s="345"/>
      <c r="G109" s="100"/>
      <c r="H109" s="351"/>
      <c r="I109" s="347" t="e">
        <f>$H109/$F109</f>
        <v>#DIV/0!</v>
      </c>
    </row>
    <row r="110" spans="1:9" ht="12.75" customHeight="1">
      <c r="A110" s="48" t="s">
        <v>534</v>
      </c>
      <c r="B110" s="22">
        <v>2003</v>
      </c>
      <c r="C110" s="55" t="s">
        <v>467</v>
      </c>
      <c r="D110" s="10" t="s">
        <v>354</v>
      </c>
      <c r="E110" s="254"/>
      <c r="F110" s="345"/>
      <c r="G110" s="100"/>
      <c r="H110" s="351"/>
      <c r="I110" s="347" t="e">
        <f>$H110/$F110</f>
        <v>#DIV/0!</v>
      </c>
    </row>
    <row r="111" spans="1:8" ht="12.75" customHeight="1">
      <c r="A111" s="48"/>
      <c r="C111" s="8"/>
      <c r="D111" s="8"/>
      <c r="E111" s="78"/>
      <c r="H111" s="123"/>
    </row>
    <row r="112" spans="1:9" ht="12.75" customHeight="1">
      <c r="A112" s="48" t="s">
        <v>534</v>
      </c>
      <c r="B112" s="22">
        <v>2004</v>
      </c>
      <c r="C112" s="55" t="s">
        <v>14</v>
      </c>
      <c r="D112" s="10" t="s">
        <v>345</v>
      </c>
      <c r="E112" s="252"/>
      <c r="F112" s="352">
        <v>0.133</v>
      </c>
      <c r="G112" s="100"/>
      <c r="H112" s="351">
        <f>183.86/0.80537</f>
        <v>228.29258601636516</v>
      </c>
      <c r="I112" s="347">
        <f>$H112/$F112</f>
        <v>1716.4856091456027</v>
      </c>
    </row>
    <row r="113" spans="1:9" ht="12.75" customHeight="1">
      <c r="A113" s="48" t="s">
        <v>534</v>
      </c>
      <c r="B113" s="22">
        <v>2004</v>
      </c>
      <c r="C113" s="55" t="s">
        <v>467</v>
      </c>
      <c r="D113" s="10" t="s">
        <v>315</v>
      </c>
      <c r="E113" s="253"/>
      <c r="F113" s="352"/>
      <c r="G113" s="100" t="s">
        <v>10</v>
      </c>
      <c r="H113" s="351"/>
      <c r="I113" s="347" t="e">
        <f>$H113/$F113</f>
        <v>#DIV/0!</v>
      </c>
    </row>
    <row r="114" spans="1:9" ht="12.75" customHeight="1">
      <c r="A114" s="48" t="s">
        <v>534</v>
      </c>
      <c r="B114" s="22">
        <v>2004</v>
      </c>
      <c r="C114" s="55" t="s">
        <v>467</v>
      </c>
      <c r="D114" s="10" t="s">
        <v>354</v>
      </c>
      <c r="E114" s="254"/>
      <c r="F114" s="352"/>
      <c r="G114" s="100"/>
      <c r="H114" s="351"/>
      <c r="I114" s="347" t="e">
        <f>$H114/$F114</f>
        <v>#DIV/0!</v>
      </c>
    </row>
    <row r="115" spans="1:9" ht="12.75" customHeight="1">
      <c r="A115" s="48"/>
      <c r="B115" s="166"/>
      <c r="C115" s="185"/>
      <c r="D115" s="165"/>
      <c r="E115" s="180"/>
      <c r="F115" s="224"/>
      <c r="G115" s="209"/>
      <c r="H115" s="216"/>
      <c r="I115" s="195"/>
    </row>
    <row r="116" spans="1:9" ht="3" customHeight="1">
      <c r="A116" s="48"/>
      <c r="B116" s="166"/>
      <c r="C116" s="185"/>
      <c r="D116" s="165"/>
      <c r="E116" s="180"/>
      <c r="F116" s="224"/>
      <c r="G116" s="209"/>
      <c r="H116" s="216"/>
      <c r="I116" s="195"/>
    </row>
    <row r="117" spans="1:10" s="24" customFormat="1" ht="12.75" customHeight="1">
      <c r="A117" s="48" t="s">
        <v>78</v>
      </c>
      <c r="B117" s="22">
        <v>2003</v>
      </c>
      <c r="C117" s="9" t="s">
        <v>6</v>
      </c>
      <c r="D117" s="75" t="s">
        <v>323</v>
      </c>
      <c r="E117" s="75"/>
      <c r="F117" s="255">
        <v>2.7</v>
      </c>
      <c r="G117" s="102"/>
      <c r="H117" s="126">
        <f>833/0.88603</f>
        <v>940.1487534282135</v>
      </c>
      <c r="I117" s="21">
        <f>$H117/$F117</f>
        <v>348.2032420104494</v>
      </c>
      <c r="J117" s="21"/>
    </row>
    <row r="118" spans="1:10" s="24" customFormat="1" ht="12.75" customHeight="1">
      <c r="A118" s="48" t="s">
        <v>78</v>
      </c>
      <c r="B118" s="22">
        <v>2003</v>
      </c>
      <c r="C118" s="9" t="s">
        <v>719</v>
      </c>
      <c r="D118" s="75" t="s">
        <v>313</v>
      </c>
      <c r="E118" s="75"/>
      <c r="F118" s="255">
        <v>0.4</v>
      </c>
      <c r="G118" s="102" t="s">
        <v>10</v>
      </c>
      <c r="H118" s="126">
        <f>144*0.88603</f>
        <v>127.58832</v>
      </c>
      <c r="I118" s="21">
        <f>$H118/$F118</f>
        <v>318.9708</v>
      </c>
      <c r="J118" s="21"/>
    </row>
    <row r="119" spans="1:10" s="24" customFormat="1" ht="12.75" customHeight="1">
      <c r="A119" s="48" t="s">
        <v>78</v>
      </c>
      <c r="B119" s="22">
        <v>2003</v>
      </c>
      <c r="C119" s="9" t="s">
        <v>9</v>
      </c>
      <c r="D119" s="75" t="s">
        <v>332</v>
      </c>
      <c r="E119" s="75"/>
      <c r="F119" s="255">
        <v>0.1</v>
      </c>
      <c r="G119" s="102" t="s">
        <v>10</v>
      </c>
      <c r="H119" s="126">
        <f>69*0.88603</f>
        <v>61.13607</v>
      </c>
      <c r="I119" s="21">
        <f>$H119/$F119</f>
        <v>611.3607</v>
      </c>
      <c r="J119" s="21"/>
    </row>
    <row r="120" spans="1:10" s="24" customFormat="1" ht="12.75" customHeight="1">
      <c r="A120" s="48" t="s">
        <v>78</v>
      </c>
      <c r="B120" s="22">
        <v>2003</v>
      </c>
      <c r="C120" s="25"/>
      <c r="D120" s="25" t="s">
        <v>482</v>
      </c>
      <c r="E120" s="25"/>
      <c r="F120" s="21">
        <v>29.5</v>
      </c>
      <c r="G120" s="102"/>
      <c r="H120" s="126">
        <f>8059/0.88603</f>
        <v>9095.628816180038</v>
      </c>
      <c r="I120" s="21">
        <f>$H120/$F120</f>
        <v>308.3264005484759</v>
      </c>
      <c r="J120" s="21"/>
    </row>
    <row r="121" spans="1:10" s="24" customFormat="1" ht="12.75" customHeight="1">
      <c r="A121" s="217"/>
      <c r="B121" s="166"/>
      <c r="C121" s="180"/>
      <c r="D121" s="180"/>
      <c r="E121" s="180"/>
      <c r="F121" s="184"/>
      <c r="G121" s="208"/>
      <c r="H121" s="183"/>
      <c r="I121" s="184"/>
      <c r="J121" s="21"/>
    </row>
    <row r="122" spans="1:12" s="24" customFormat="1" ht="12.75" customHeight="1">
      <c r="A122" s="48" t="s">
        <v>78</v>
      </c>
      <c r="B122" s="22">
        <v>2004</v>
      </c>
      <c r="C122" s="9" t="s">
        <v>6</v>
      </c>
      <c r="D122" s="75" t="s">
        <v>323</v>
      </c>
      <c r="E122" s="75"/>
      <c r="F122" s="255">
        <v>2.1</v>
      </c>
      <c r="G122" s="102"/>
      <c r="H122" s="126">
        <f>618/0.80537</f>
        <v>767.3491687050672</v>
      </c>
      <c r="I122" s="21">
        <f>$H122/$F122</f>
        <v>365.40436605003197</v>
      </c>
      <c r="J122" s="21"/>
      <c r="L122" s="26"/>
    </row>
    <row r="123" spans="1:10" s="24" customFormat="1" ht="12.75" customHeight="1">
      <c r="A123" s="48" t="s">
        <v>78</v>
      </c>
      <c r="B123" s="22">
        <v>2004</v>
      </c>
      <c r="C123" s="9" t="s">
        <v>719</v>
      </c>
      <c r="D123" s="75" t="s">
        <v>313</v>
      </c>
      <c r="E123" s="75"/>
      <c r="F123" s="255">
        <v>0</v>
      </c>
      <c r="G123" s="102" t="s">
        <v>10</v>
      </c>
      <c r="H123" s="126">
        <f>17/0.80537</f>
        <v>21.108310465996993</v>
      </c>
      <c r="I123" s="69" t="s">
        <v>71</v>
      </c>
      <c r="J123" s="21"/>
    </row>
    <row r="124" spans="1:10" s="24" customFormat="1" ht="12.75" customHeight="1">
      <c r="A124" s="48" t="s">
        <v>78</v>
      </c>
      <c r="B124" s="22">
        <v>2004</v>
      </c>
      <c r="C124" s="9" t="s">
        <v>9</v>
      </c>
      <c r="D124" s="75" t="s">
        <v>332</v>
      </c>
      <c r="E124" s="75"/>
      <c r="F124" s="255">
        <v>0.1</v>
      </c>
      <c r="G124" s="102" t="s">
        <v>10</v>
      </c>
      <c r="H124" s="126">
        <f>49/0.80537</f>
        <v>60.841600754932514</v>
      </c>
      <c r="I124" s="21">
        <f>$H124/$F124</f>
        <v>608.4160075493251</v>
      </c>
      <c r="J124" s="21"/>
    </row>
    <row r="125" spans="1:10" s="24" customFormat="1" ht="12.75" customHeight="1">
      <c r="A125" s="48" t="s">
        <v>78</v>
      </c>
      <c r="B125" s="22">
        <v>2004</v>
      </c>
      <c r="C125" s="25"/>
      <c r="D125" s="25" t="s">
        <v>482</v>
      </c>
      <c r="E125" s="25"/>
      <c r="F125" s="21">
        <v>16.3</v>
      </c>
      <c r="G125" s="102"/>
      <c r="H125" s="126">
        <f>3856/0.80537</f>
        <v>4787.86147981673</v>
      </c>
      <c r="I125" s="21">
        <f>$H125/$F125</f>
        <v>293.7338331175908</v>
      </c>
      <c r="J125" s="21"/>
    </row>
    <row r="126" spans="1:10" s="24" customFormat="1" ht="12.75" customHeight="1">
      <c r="A126" s="48"/>
      <c r="B126" s="166"/>
      <c r="C126" s="25"/>
      <c r="D126" s="25"/>
      <c r="E126" s="25"/>
      <c r="F126" s="21"/>
      <c r="G126" s="102"/>
      <c r="H126" s="126"/>
      <c r="I126" s="21"/>
      <c r="J126" s="21"/>
    </row>
    <row r="127" spans="1:9" ht="12.75" customHeight="1">
      <c r="A127" s="48" t="s">
        <v>251</v>
      </c>
      <c r="B127" s="22">
        <v>2003</v>
      </c>
      <c r="C127" s="55" t="s">
        <v>3</v>
      </c>
      <c r="D127" s="10" t="s">
        <v>325</v>
      </c>
      <c r="E127" s="252"/>
      <c r="F127" s="353">
        <v>90</v>
      </c>
      <c r="G127" s="100"/>
      <c r="H127" s="351">
        <f>26766/0.88603</f>
        <v>30208.909404873426</v>
      </c>
      <c r="I127" s="347">
        <f>$H127/$F127</f>
        <v>335.6545489430381</v>
      </c>
    </row>
    <row r="128" spans="1:9" ht="12.75" customHeight="1">
      <c r="A128" s="48" t="s">
        <v>251</v>
      </c>
      <c r="B128" s="22">
        <v>2003</v>
      </c>
      <c r="C128" s="55" t="s">
        <v>466</v>
      </c>
      <c r="D128" s="10" t="s">
        <v>348</v>
      </c>
      <c r="E128" s="253"/>
      <c r="F128" s="353"/>
      <c r="G128" s="100"/>
      <c r="H128" s="351"/>
      <c r="I128" s="347" t="e">
        <f>$H128/$F128</f>
        <v>#DIV/0!</v>
      </c>
    </row>
    <row r="129" spans="1:9" ht="12.75" customHeight="1">
      <c r="A129" s="48" t="s">
        <v>251</v>
      </c>
      <c r="B129" s="22">
        <v>2003</v>
      </c>
      <c r="C129" s="55" t="s">
        <v>718</v>
      </c>
      <c r="D129" s="10" t="s">
        <v>320</v>
      </c>
      <c r="E129" s="254"/>
      <c r="F129" s="353"/>
      <c r="G129" s="100"/>
      <c r="H129" s="351"/>
      <c r="I129" s="347" t="e">
        <f>$H129/$F129</f>
        <v>#DIV/0!</v>
      </c>
    </row>
    <row r="130" spans="1:9" ht="3" customHeight="1">
      <c r="A130" s="217"/>
      <c r="B130" s="166"/>
      <c r="C130" s="185"/>
      <c r="D130" s="165"/>
      <c r="E130" s="180"/>
      <c r="F130" s="224"/>
      <c r="G130" s="209"/>
      <c r="H130" s="192"/>
      <c r="I130" s="193"/>
    </row>
    <row r="131" spans="1:11" ht="12.75" customHeight="1">
      <c r="A131" s="48" t="s">
        <v>251</v>
      </c>
      <c r="B131" s="22">
        <v>2003</v>
      </c>
      <c r="C131" s="20" t="s">
        <v>9</v>
      </c>
      <c r="D131" s="10" t="s">
        <v>332</v>
      </c>
      <c r="F131" s="15">
        <v>5</v>
      </c>
      <c r="H131" s="123">
        <f>1325/0.88603</f>
        <v>1495.4346918275905</v>
      </c>
      <c r="I131" s="21">
        <f>$H131/$F131</f>
        <v>299.0869383655181</v>
      </c>
      <c r="J131" s="69"/>
      <c r="K131" s="223"/>
    </row>
    <row r="132" spans="1:11" ht="12.75" customHeight="1">
      <c r="A132" s="48" t="s">
        <v>251</v>
      </c>
      <c r="B132" s="22">
        <v>2003</v>
      </c>
      <c r="C132" s="20" t="s">
        <v>6</v>
      </c>
      <c r="D132" s="10" t="s">
        <v>323</v>
      </c>
      <c r="F132" s="15">
        <v>1</v>
      </c>
      <c r="H132" s="123">
        <f>161/0.88603</f>
        <v>181.70942293150344</v>
      </c>
      <c r="I132" s="21">
        <f>$H132/$F132</f>
        <v>181.70942293150344</v>
      </c>
      <c r="K132" s="223"/>
    </row>
    <row r="133" spans="1:11" ht="3" customHeight="1">
      <c r="A133" s="217"/>
      <c r="B133" s="166"/>
      <c r="C133" s="186"/>
      <c r="D133" s="165"/>
      <c r="E133" s="168"/>
      <c r="F133" s="169"/>
      <c r="G133" s="170"/>
      <c r="H133" s="171"/>
      <c r="I133" s="184"/>
      <c r="K133" s="223"/>
    </row>
    <row r="134" spans="1:9" ht="12.75" customHeight="1">
      <c r="A134" s="48" t="s">
        <v>251</v>
      </c>
      <c r="B134" s="22">
        <v>2003</v>
      </c>
      <c r="C134" s="55" t="s">
        <v>14</v>
      </c>
      <c r="D134" s="10" t="s">
        <v>345</v>
      </c>
      <c r="E134" s="252"/>
      <c r="F134" s="353">
        <v>0</v>
      </c>
      <c r="G134" s="100"/>
      <c r="H134" s="354" t="s">
        <v>71</v>
      </c>
      <c r="I134" s="349" t="s">
        <v>71</v>
      </c>
    </row>
    <row r="135" spans="1:9" ht="12.75" customHeight="1">
      <c r="A135" s="48" t="s">
        <v>251</v>
      </c>
      <c r="B135" s="22">
        <v>2003</v>
      </c>
      <c r="C135" s="55" t="s">
        <v>467</v>
      </c>
      <c r="D135" s="10" t="s">
        <v>315</v>
      </c>
      <c r="E135" s="253"/>
      <c r="F135" s="353"/>
      <c r="G135" s="100" t="s">
        <v>10</v>
      </c>
      <c r="H135" s="355"/>
      <c r="I135" s="350" t="e">
        <f>$H135/$F135</f>
        <v>#DIV/0!</v>
      </c>
    </row>
    <row r="136" spans="1:9" ht="12.75" customHeight="1">
      <c r="A136" s="48" t="s">
        <v>251</v>
      </c>
      <c r="B136" s="22">
        <v>2003</v>
      </c>
      <c r="C136" s="55" t="s">
        <v>467</v>
      </c>
      <c r="D136" s="10" t="s">
        <v>354</v>
      </c>
      <c r="E136" s="254"/>
      <c r="F136" s="353"/>
      <c r="G136" s="100"/>
      <c r="H136" s="355"/>
      <c r="I136" s="350" t="e">
        <f>$H136/$F136</f>
        <v>#DIV/0!</v>
      </c>
    </row>
    <row r="137" spans="1:9" ht="3" customHeight="1">
      <c r="A137" s="217"/>
      <c r="B137" s="166"/>
      <c r="C137" s="185"/>
      <c r="D137" s="165"/>
      <c r="E137" s="180"/>
      <c r="F137" s="224"/>
      <c r="G137" s="209"/>
      <c r="H137" s="216"/>
      <c r="I137" s="195"/>
    </row>
    <row r="138" spans="1:11" ht="12.75" customHeight="1">
      <c r="A138" s="48" t="s">
        <v>251</v>
      </c>
      <c r="B138" s="22">
        <v>2003</v>
      </c>
      <c r="C138" s="8"/>
      <c r="D138" s="8" t="s">
        <v>482</v>
      </c>
      <c r="F138" s="15">
        <v>144</v>
      </c>
      <c r="H138" s="123">
        <f>33626/0.88603</f>
        <v>37951.31090369401</v>
      </c>
      <c r="I138" s="21">
        <f>$H138/$F138</f>
        <v>263.55077016454175</v>
      </c>
      <c r="J138" s="69"/>
      <c r="K138" s="223"/>
    </row>
    <row r="139" spans="1:11" ht="12.75" customHeight="1">
      <c r="A139" s="217"/>
      <c r="B139" s="166"/>
      <c r="C139" s="165"/>
      <c r="D139" s="165"/>
      <c r="E139" s="168"/>
      <c r="F139" s="169"/>
      <c r="G139" s="170"/>
      <c r="H139" s="171"/>
      <c r="I139" s="184"/>
      <c r="J139" s="69"/>
      <c r="K139" s="223"/>
    </row>
    <row r="140" spans="1:9" ht="12.75" customHeight="1">
      <c r="A140" s="48" t="s">
        <v>251</v>
      </c>
      <c r="B140" s="22">
        <v>2004</v>
      </c>
      <c r="C140" s="55" t="s">
        <v>3</v>
      </c>
      <c r="D140" s="10" t="s">
        <v>325</v>
      </c>
      <c r="E140" s="252"/>
      <c r="F140" s="353">
        <v>90</v>
      </c>
      <c r="G140" s="100"/>
      <c r="H140" s="351">
        <f>30082/0.80537</f>
        <v>37351.77620224244</v>
      </c>
      <c r="I140" s="347">
        <f>$H140/$F140</f>
        <v>415.0197355804716</v>
      </c>
    </row>
    <row r="141" spans="1:9" ht="12.75" customHeight="1">
      <c r="A141" s="48" t="s">
        <v>251</v>
      </c>
      <c r="B141" s="22">
        <v>2004</v>
      </c>
      <c r="C141" s="55" t="s">
        <v>466</v>
      </c>
      <c r="D141" s="10" t="s">
        <v>348</v>
      </c>
      <c r="E141" s="253"/>
      <c r="F141" s="353"/>
      <c r="G141" s="100"/>
      <c r="H141" s="351"/>
      <c r="I141" s="347" t="e">
        <f>$H141/$F141</f>
        <v>#DIV/0!</v>
      </c>
    </row>
    <row r="142" spans="1:9" ht="12.75" customHeight="1">
      <c r="A142" s="48" t="s">
        <v>251</v>
      </c>
      <c r="B142" s="22">
        <v>2004</v>
      </c>
      <c r="C142" s="55" t="s">
        <v>718</v>
      </c>
      <c r="D142" s="10" t="s">
        <v>320</v>
      </c>
      <c r="E142" s="254"/>
      <c r="F142" s="353"/>
      <c r="G142" s="100"/>
      <c r="H142" s="351"/>
      <c r="I142" s="347" t="e">
        <f>$H142/$F142</f>
        <v>#DIV/0!</v>
      </c>
    </row>
    <row r="143" spans="1:9" ht="3" customHeight="1">
      <c r="A143" s="217"/>
      <c r="B143" s="166"/>
      <c r="C143" s="185"/>
      <c r="D143" s="165"/>
      <c r="E143" s="180"/>
      <c r="F143" s="224"/>
      <c r="G143" s="209"/>
      <c r="H143" s="192"/>
      <c r="I143" s="193"/>
    </row>
    <row r="144" spans="1:11" ht="12.75" customHeight="1">
      <c r="A144" s="48" t="s">
        <v>251</v>
      </c>
      <c r="B144" s="22">
        <v>2004</v>
      </c>
      <c r="C144" s="20" t="s">
        <v>9</v>
      </c>
      <c r="D144" s="10" t="s">
        <v>332</v>
      </c>
      <c r="F144" s="15">
        <v>2</v>
      </c>
      <c r="H144" s="123">
        <f>1067/0.80537</f>
        <v>1324.8568980716936</v>
      </c>
      <c r="I144" s="21">
        <f>$H144/$F144</f>
        <v>662.4284490358468</v>
      </c>
      <c r="J144" s="69"/>
      <c r="K144" s="223"/>
    </row>
    <row r="145" spans="1:11" ht="12.75" customHeight="1">
      <c r="A145" s="48" t="s">
        <v>251</v>
      </c>
      <c r="B145" s="22">
        <v>2004</v>
      </c>
      <c r="C145" s="20" t="s">
        <v>6</v>
      </c>
      <c r="D145" s="10" t="s">
        <v>323</v>
      </c>
      <c r="F145" s="15">
        <v>0</v>
      </c>
      <c r="G145" s="101" t="s">
        <v>10</v>
      </c>
      <c r="H145" s="125" t="s">
        <v>71</v>
      </c>
      <c r="I145" s="69" t="s">
        <v>71</v>
      </c>
      <c r="K145" s="223"/>
    </row>
    <row r="146" spans="1:11" ht="3" customHeight="1">
      <c r="A146" s="217"/>
      <c r="B146" s="166"/>
      <c r="C146" s="186"/>
      <c r="D146" s="165"/>
      <c r="E146" s="168"/>
      <c r="F146" s="169"/>
      <c r="G146" s="170"/>
      <c r="H146" s="187"/>
      <c r="I146" s="188"/>
      <c r="K146" s="223"/>
    </row>
    <row r="147" spans="1:9" ht="12.75" customHeight="1">
      <c r="A147" s="48" t="s">
        <v>251</v>
      </c>
      <c r="B147" s="22">
        <v>2004</v>
      </c>
      <c r="C147" s="55" t="s">
        <v>14</v>
      </c>
      <c r="D147" s="10" t="s">
        <v>345</v>
      </c>
      <c r="E147" s="252"/>
      <c r="F147" s="353">
        <v>0</v>
      </c>
      <c r="G147" s="100"/>
      <c r="H147" s="354" t="s">
        <v>71</v>
      </c>
      <c r="I147" s="349" t="s">
        <v>71</v>
      </c>
    </row>
    <row r="148" spans="1:9" ht="12.75" customHeight="1">
      <c r="A148" s="48" t="s">
        <v>251</v>
      </c>
      <c r="B148" s="22">
        <v>2004</v>
      </c>
      <c r="C148" s="55" t="s">
        <v>467</v>
      </c>
      <c r="D148" s="10" t="s">
        <v>315</v>
      </c>
      <c r="E148" s="253"/>
      <c r="F148" s="353"/>
      <c r="G148" s="100" t="s">
        <v>10</v>
      </c>
      <c r="H148" s="355"/>
      <c r="I148" s="350" t="e">
        <f>$H148/$F148</f>
        <v>#DIV/0!</v>
      </c>
    </row>
    <row r="149" spans="1:9" ht="12.75" customHeight="1">
      <c r="A149" s="48" t="s">
        <v>251</v>
      </c>
      <c r="B149" s="22">
        <v>2004</v>
      </c>
      <c r="C149" s="55" t="s">
        <v>467</v>
      </c>
      <c r="D149" s="10" t="s">
        <v>354</v>
      </c>
      <c r="E149" s="254"/>
      <c r="F149" s="353"/>
      <c r="G149" s="100"/>
      <c r="H149" s="355"/>
      <c r="I149" s="350" t="e">
        <f>$H149/$F149</f>
        <v>#DIV/0!</v>
      </c>
    </row>
    <row r="150" spans="1:9" ht="3" customHeight="1">
      <c r="A150" s="217"/>
      <c r="B150" s="166"/>
      <c r="C150" s="185"/>
      <c r="D150" s="165"/>
      <c r="E150" s="180"/>
      <c r="F150" s="224"/>
      <c r="G150" s="209"/>
      <c r="H150" s="216"/>
      <c r="I150" s="195"/>
    </row>
    <row r="151" spans="1:11" ht="12.75" customHeight="1">
      <c r="A151" s="48" t="s">
        <v>251</v>
      </c>
      <c r="B151" s="22">
        <v>2004</v>
      </c>
      <c r="C151" s="8"/>
      <c r="D151" s="8" t="s">
        <v>482</v>
      </c>
      <c r="F151" s="15">
        <v>113</v>
      </c>
      <c r="H151" s="123">
        <f>34893/0.80537</f>
        <v>43325.428064119595</v>
      </c>
      <c r="I151" s="21">
        <f>$H151/$F151</f>
        <v>383.4108678240672</v>
      </c>
      <c r="J151" s="69"/>
      <c r="K151" s="223"/>
    </row>
    <row r="152" spans="2:10" ht="12.75" customHeight="1">
      <c r="B152" s="8"/>
      <c r="C152" s="8"/>
      <c r="D152" s="8"/>
      <c r="E152" s="8"/>
      <c r="F152" s="8"/>
      <c r="G152" s="8"/>
      <c r="I152" s="8"/>
      <c r="J152" s="8"/>
    </row>
    <row r="153" spans="1:10" s="24" customFormat="1" ht="12.75" customHeight="1">
      <c r="A153" s="25" t="s">
        <v>13</v>
      </c>
      <c r="B153" s="22">
        <v>2003</v>
      </c>
      <c r="C153" s="55" t="s">
        <v>14</v>
      </c>
      <c r="D153" s="10" t="s">
        <v>345</v>
      </c>
      <c r="E153" s="252"/>
      <c r="F153" s="353">
        <v>422</v>
      </c>
      <c r="G153" s="100"/>
      <c r="H153" s="351">
        <f>60598</f>
        <v>60598</v>
      </c>
      <c r="I153" s="347">
        <f>$H153/$F153</f>
        <v>143.59715639810426</v>
      </c>
      <c r="J153" s="46"/>
    </row>
    <row r="154" spans="1:10" s="24" customFormat="1" ht="12.75" customHeight="1">
      <c r="A154" s="25" t="s">
        <v>13</v>
      </c>
      <c r="B154" s="22">
        <v>2003</v>
      </c>
      <c r="C154" s="55" t="s">
        <v>467</v>
      </c>
      <c r="D154" s="10" t="s">
        <v>315</v>
      </c>
      <c r="E154" s="253"/>
      <c r="F154" s="353"/>
      <c r="G154" s="100"/>
      <c r="H154" s="351"/>
      <c r="I154" s="347" t="e">
        <f>$H154/$F154</f>
        <v>#DIV/0!</v>
      </c>
      <c r="J154" s="46"/>
    </row>
    <row r="155" spans="1:10" s="24" customFormat="1" ht="12.75" customHeight="1">
      <c r="A155" s="25" t="s">
        <v>13</v>
      </c>
      <c r="B155" s="22">
        <v>2003</v>
      </c>
      <c r="C155" s="55" t="s">
        <v>467</v>
      </c>
      <c r="D155" s="10" t="s">
        <v>354</v>
      </c>
      <c r="E155" s="254"/>
      <c r="F155" s="353"/>
      <c r="G155" s="100"/>
      <c r="H155" s="351"/>
      <c r="I155" s="347" t="e">
        <f>$H155/$F155</f>
        <v>#DIV/0!</v>
      </c>
      <c r="J155" s="46"/>
    </row>
    <row r="156" spans="1:10" s="24" customFormat="1" ht="3" customHeight="1">
      <c r="A156" s="180"/>
      <c r="B156" s="166"/>
      <c r="C156" s="156"/>
      <c r="D156" s="156"/>
      <c r="E156" s="156"/>
      <c r="F156" s="156"/>
      <c r="G156" s="209"/>
      <c r="H156" s="161"/>
      <c r="I156" s="159"/>
      <c r="J156" s="26"/>
    </row>
    <row r="157" spans="1:10" s="24" customFormat="1" ht="12.75" customHeight="1">
      <c r="A157" s="25" t="s">
        <v>13</v>
      </c>
      <c r="B157" s="22">
        <v>2003</v>
      </c>
      <c r="C157" s="55" t="s">
        <v>720</v>
      </c>
      <c r="D157" s="10" t="s">
        <v>373</v>
      </c>
      <c r="E157" s="252"/>
      <c r="F157" s="353">
        <v>416</v>
      </c>
      <c r="G157" s="100"/>
      <c r="H157" s="351">
        <f>65848</f>
        <v>65848</v>
      </c>
      <c r="I157" s="347">
        <f>$H157/$F157</f>
        <v>158.28846153846155</v>
      </c>
      <c r="J157" s="46"/>
    </row>
    <row r="158" spans="1:10" s="24" customFormat="1" ht="12.75" customHeight="1">
      <c r="A158" s="25" t="s">
        <v>13</v>
      </c>
      <c r="B158" s="22">
        <v>2003</v>
      </c>
      <c r="C158" s="55" t="s">
        <v>721</v>
      </c>
      <c r="D158" s="10" t="s">
        <v>374</v>
      </c>
      <c r="E158" s="253"/>
      <c r="F158" s="353"/>
      <c r="G158" s="100"/>
      <c r="H158" s="351"/>
      <c r="I158" s="347" t="e">
        <f>$H158/$F158</f>
        <v>#DIV/0!</v>
      </c>
      <c r="J158" s="46"/>
    </row>
    <row r="159" spans="1:10" s="24" customFormat="1" ht="12.75" customHeight="1">
      <c r="A159" s="25" t="s">
        <v>13</v>
      </c>
      <c r="B159" s="22">
        <v>2003</v>
      </c>
      <c r="C159" s="55" t="s">
        <v>15</v>
      </c>
      <c r="D159" s="10" t="s">
        <v>312</v>
      </c>
      <c r="E159" s="253"/>
      <c r="F159" s="353"/>
      <c r="G159" s="100"/>
      <c r="H159" s="351"/>
      <c r="I159" s="347" t="e">
        <f>$H159/$F159</f>
        <v>#DIV/0!</v>
      </c>
      <c r="J159" s="46"/>
    </row>
    <row r="160" spans="1:10" s="24" customFormat="1" ht="12.75" customHeight="1">
      <c r="A160" s="25" t="s">
        <v>13</v>
      </c>
      <c r="B160" s="22">
        <v>2003</v>
      </c>
      <c r="C160" s="55" t="s">
        <v>467</v>
      </c>
      <c r="D160" s="10" t="s">
        <v>319</v>
      </c>
      <c r="E160" s="253"/>
      <c r="F160" s="353"/>
      <c r="G160" s="100"/>
      <c r="H160" s="351"/>
      <c r="I160" s="347" t="e">
        <f>$H160/$F160</f>
        <v>#DIV/0!</v>
      </c>
      <c r="J160" s="46"/>
    </row>
    <row r="161" spans="1:10" s="24" customFormat="1" ht="12.75" customHeight="1">
      <c r="A161" s="25" t="s">
        <v>13</v>
      </c>
      <c r="B161" s="22">
        <v>2003</v>
      </c>
      <c r="C161" s="55" t="s">
        <v>467</v>
      </c>
      <c r="D161" s="10" t="s">
        <v>356</v>
      </c>
      <c r="E161" s="254"/>
      <c r="F161" s="353"/>
      <c r="G161" s="100"/>
      <c r="H161" s="351"/>
      <c r="I161" s="347" t="e">
        <f>$H161/$F161</f>
        <v>#DIV/0!</v>
      </c>
      <c r="J161" s="46"/>
    </row>
    <row r="162" spans="1:10" s="24" customFormat="1" ht="3" customHeight="1">
      <c r="A162" s="180"/>
      <c r="B162" s="166"/>
      <c r="C162" s="156"/>
      <c r="D162" s="156"/>
      <c r="E162" s="156"/>
      <c r="F162" s="156"/>
      <c r="G162" s="209"/>
      <c r="H162" s="161"/>
      <c r="I162" s="159"/>
      <c r="J162" s="26"/>
    </row>
    <row r="163" spans="1:10" s="24" customFormat="1" ht="12.75" customHeight="1">
      <c r="A163" s="25" t="s">
        <v>13</v>
      </c>
      <c r="B163" s="22">
        <v>2003</v>
      </c>
      <c r="C163" s="55" t="s">
        <v>464</v>
      </c>
      <c r="D163" s="27" t="s">
        <v>353</v>
      </c>
      <c r="E163" s="252"/>
      <c r="F163" s="353">
        <v>196</v>
      </c>
      <c r="G163" s="100"/>
      <c r="H163" s="351">
        <f>33703</f>
        <v>33703</v>
      </c>
      <c r="I163" s="347">
        <f>$H163/$F163</f>
        <v>171.95408163265307</v>
      </c>
      <c r="J163" s="46"/>
    </row>
    <row r="164" spans="1:10" s="24" customFormat="1" ht="12.75" customHeight="1">
      <c r="A164" s="25" t="s">
        <v>13</v>
      </c>
      <c r="B164" s="22">
        <v>2003</v>
      </c>
      <c r="C164" s="55" t="s">
        <v>469</v>
      </c>
      <c r="D164" s="27" t="s">
        <v>337</v>
      </c>
      <c r="E164" s="254"/>
      <c r="F164" s="353"/>
      <c r="G164" s="100"/>
      <c r="H164" s="351"/>
      <c r="I164" s="347" t="e">
        <f>$H164/$F164</f>
        <v>#DIV/0!</v>
      </c>
      <c r="J164" s="46"/>
    </row>
    <row r="165" spans="1:10" s="24" customFormat="1" ht="3" customHeight="1">
      <c r="A165" s="180"/>
      <c r="B165" s="166"/>
      <c r="C165" s="185"/>
      <c r="D165" s="156"/>
      <c r="E165" s="180"/>
      <c r="F165" s="156"/>
      <c r="G165" s="209"/>
      <c r="H165" s="161"/>
      <c r="I165" s="159"/>
      <c r="J165" s="26"/>
    </row>
    <row r="166" spans="1:10" s="24" customFormat="1" ht="12.75" customHeight="1">
      <c r="A166" s="25" t="s">
        <v>13</v>
      </c>
      <c r="B166" s="22">
        <v>2003</v>
      </c>
      <c r="C166" s="55" t="s">
        <v>12</v>
      </c>
      <c r="D166" s="10" t="s">
        <v>358</v>
      </c>
      <c r="E166" s="252"/>
      <c r="F166" s="353">
        <v>22</v>
      </c>
      <c r="G166" s="100"/>
      <c r="H166" s="351">
        <f>2841</f>
        <v>2841</v>
      </c>
      <c r="I166" s="347">
        <f>$H166/$F166</f>
        <v>129.13636363636363</v>
      </c>
      <c r="J166" s="46"/>
    </row>
    <row r="167" spans="1:10" s="24" customFormat="1" ht="12.75" customHeight="1">
      <c r="A167" s="25" t="s">
        <v>13</v>
      </c>
      <c r="B167" s="22">
        <v>2003</v>
      </c>
      <c r="C167" s="55" t="s">
        <v>292</v>
      </c>
      <c r="D167" s="10" t="s">
        <v>340</v>
      </c>
      <c r="E167" s="253"/>
      <c r="F167" s="353"/>
      <c r="G167" s="100"/>
      <c r="H167" s="351"/>
      <c r="I167" s="347" t="e">
        <f>$H167/$F167</f>
        <v>#DIV/0!</v>
      </c>
      <c r="J167" s="46"/>
    </row>
    <row r="168" spans="1:10" s="24" customFormat="1" ht="12.75" customHeight="1">
      <c r="A168" s="25" t="s">
        <v>13</v>
      </c>
      <c r="B168" s="22">
        <v>2003</v>
      </c>
      <c r="C168" s="55" t="s">
        <v>470</v>
      </c>
      <c r="D168" s="10" t="s">
        <v>341</v>
      </c>
      <c r="E168" s="253"/>
      <c r="F168" s="353"/>
      <c r="G168" s="100"/>
      <c r="H168" s="351"/>
      <c r="I168" s="347" t="e">
        <f>$H168/$F168</f>
        <v>#DIV/0!</v>
      </c>
      <c r="J168" s="46"/>
    </row>
    <row r="169" spans="1:10" s="24" customFormat="1" ht="12.75" customHeight="1">
      <c r="A169" s="25" t="s">
        <v>13</v>
      </c>
      <c r="B169" s="22">
        <v>2003</v>
      </c>
      <c r="C169" s="55" t="s">
        <v>722</v>
      </c>
      <c r="D169" s="10" t="s">
        <v>359</v>
      </c>
      <c r="E169" s="253"/>
      <c r="F169" s="353"/>
      <c r="G169" s="100"/>
      <c r="H169" s="351"/>
      <c r="I169" s="347" t="e">
        <f>$H169/$F169</f>
        <v>#DIV/0!</v>
      </c>
      <c r="J169" s="46"/>
    </row>
    <row r="170" spans="1:10" s="24" customFormat="1" ht="12.75" customHeight="1">
      <c r="A170" s="25" t="s">
        <v>13</v>
      </c>
      <c r="B170" s="22">
        <v>2003</v>
      </c>
      <c r="C170" s="55" t="s">
        <v>443</v>
      </c>
      <c r="D170" s="10" t="s">
        <v>360</v>
      </c>
      <c r="E170" s="254"/>
      <c r="F170" s="353"/>
      <c r="G170" s="100"/>
      <c r="H170" s="351"/>
      <c r="I170" s="347" t="e">
        <f>$H170/$F170</f>
        <v>#DIV/0!</v>
      </c>
      <c r="J170" s="46"/>
    </row>
    <row r="171" spans="1:10" s="24" customFormat="1" ht="3" customHeight="1">
      <c r="A171" s="180"/>
      <c r="B171" s="166"/>
      <c r="C171" s="156"/>
      <c r="D171" s="156"/>
      <c r="E171" s="156"/>
      <c r="F171" s="156"/>
      <c r="G171" s="209"/>
      <c r="H171" s="161"/>
      <c r="I171" s="159"/>
      <c r="J171" s="46"/>
    </row>
    <row r="172" spans="1:10" s="24" customFormat="1" ht="12.75" customHeight="1">
      <c r="A172" s="25" t="s">
        <v>13</v>
      </c>
      <c r="B172" s="22">
        <v>2003</v>
      </c>
      <c r="C172" s="55" t="s">
        <v>6</v>
      </c>
      <c r="D172" s="10" t="s">
        <v>323</v>
      </c>
      <c r="E172" s="252"/>
      <c r="F172" s="353">
        <v>13</v>
      </c>
      <c r="G172" s="100"/>
      <c r="H172" s="351">
        <f>3221</f>
        <v>3221</v>
      </c>
      <c r="I172" s="347">
        <f>$H172/$F172</f>
        <v>247.76923076923077</v>
      </c>
      <c r="J172" s="46"/>
    </row>
    <row r="173" spans="1:10" s="24" customFormat="1" ht="12.75" customHeight="1">
      <c r="A173" s="25" t="s">
        <v>13</v>
      </c>
      <c r="B173" s="22">
        <v>2003</v>
      </c>
      <c r="C173" s="55" t="s">
        <v>527</v>
      </c>
      <c r="D173" s="10" t="s">
        <v>320</v>
      </c>
      <c r="E173" s="253"/>
      <c r="F173" s="353"/>
      <c r="G173" s="100"/>
      <c r="H173" s="351"/>
      <c r="I173" s="347"/>
      <c r="J173" s="26"/>
    </row>
    <row r="174" spans="1:10" s="24" customFormat="1" ht="12.75" customHeight="1">
      <c r="A174" s="25" t="s">
        <v>13</v>
      </c>
      <c r="B174" s="22">
        <v>2003</v>
      </c>
      <c r="C174" s="55" t="s">
        <v>3</v>
      </c>
      <c r="D174" s="10" t="s">
        <v>325</v>
      </c>
      <c r="E174" s="253"/>
      <c r="F174" s="353"/>
      <c r="G174" s="100"/>
      <c r="H174" s="351"/>
      <c r="I174" s="347"/>
      <c r="J174" s="46"/>
    </row>
    <row r="175" spans="1:10" s="24" customFormat="1" ht="12.75" customHeight="1">
      <c r="A175" s="25" t="s">
        <v>13</v>
      </c>
      <c r="B175" s="22">
        <v>2003</v>
      </c>
      <c r="C175" s="55" t="s">
        <v>9</v>
      </c>
      <c r="D175" s="10" t="s">
        <v>332</v>
      </c>
      <c r="E175" s="253"/>
      <c r="F175" s="353"/>
      <c r="G175" s="100"/>
      <c r="H175" s="351"/>
      <c r="I175" s="347"/>
      <c r="J175" s="46"/>
    </row>
    <row r="176" spans="1:10" s="24" customFormat="1" ht="12.75" customHeight="1">
      <c r="A176" s="25" t="s">
        <v>13</v>
      </c>
      <c r="B176" s="22">
        <v>2003</v>
      </c>
      <c r="C176" s="55" t="s">
        <v>466</v>
      </c>
      <c r="D176" s="10" t="s">
        <v>348</v>
      </c>
      <c r="E176" s="253"/>
      <c r="F176" s="353"/>
      <c r="G176" s="100"/>
      <c r="H176" s="351"/>
      <c r="I176" s="347"/>
      <c r="J176" s="46"/>
    </row>
    <row r="177" spans="1:10" s="24" customFormat="1" ht="12.75" customHeight="1">
      <c r="A177" s="25" t="s">
        <v>13</v>
      </c>
      <c r="B177" s="22">
        <v>2003</v>
      </c>
      <c r="C177" s="55" t="s">
        <v>444</v>
      </c>
      <c r="D177" s="10" t="s">
        <v>357</v>
      </c>
      <c r="E177" s="253"/>
      <c r="F177" s="353"/>
      <c r="G177" s="100"/>
      <c r="H177" s="351"/>
      <c r="I177" s="347"/>
      <c r="J177" s="46"/>
    </row>
    <row r="178" spans="1:10" s="24" customFormat="1" ht="12.75" customHeight="1">
      <c r="A178" s="25" t="s">
        <v>13</v>
      </c>
      <c r="B178" s="22">
        <v>2003</v>
      </c>
      <c r="C178" s="55" t="s">
        <v>4</v>
      </c>
      <c r="D178" s="10" t="s">
        <v>330</v>
      </c>
      <c r="E178" s="254"/>
      <c r="F178" s="353"/>
      <c r="G178" s="100"/>
      <c r="H178" s="351"/>
      <c r="I178" s="347"/>
      <c r="J178" s="46"/>
    </row>
    <row r="179" spans="1:10" s="24" customFormat="1" ht="3" customHeight="1">
      <c r="A179" s="180"/>
      <c r="B179" s="166"/>
      <c r="C179" s="185"/>
      <c r="D179" s="165"/>
      <c r="E179" s="180"/>
      <c r="F179" s="224"/>
      <c r="G179" s="209"/>
      <c r="H179" s="192"/>
      <c r="I179" s="193"/>
      <c r="J179" s="46"/>
    </row>
    <row r="180" spans="1:10" s="24" customFormat="1" ht="12.75" customHeight="1">
      <c r="A180" s="25" t="s">
        <v>13</v>
      </c>
      <c r="B180" s="22">
        <v>2003</v>
      </c>
      <c r="D180" s="24" t="s">
        <v>482</v>
      </c>
      <c r="F180" s="24">
        <v>716</v>
      </c>
      <c r="G180" s="100"/>
      <c r="H180" s="128">
        <f>99921</f>
        <v>99921</v>
      </c>
      <c r="I180" s="26">
        <f>$H180/$F180</f>
        <v>139.55446927374302</v>
      </c>
      <c r="J180" s="26"/>
    </row>
    <row r="181" spans="1:10" s="24" customFormat="1" ht="12.75" customHeight="1">
      <c r="A181" s="180"/>
      <c r="B181" s="166"/>
      <c r="C181" s="156"/>
      <c r="D181" s="156"/>
      <c r="E181" s="156"/>
      <c r="F181" s="156"/>
      <c r="G181" s="209"/>
      <c r="H181" s="161"/>
      <c r="I181" s="159"/>
      <c r="J181" s="26"/>
    </row>
    <row r="182" spans="1:10" s="24" customFormat="1" ht="3" customHeight="1">
      <c r="A182" s="180"/>
      <c r="B182" s="166"/>
      <c r="C182" s="156"/>
      <c r="D182" s="156"/>
      <c r="E182" s="156"/>
      <c r="F182" s="156"/>
      <c r="G182" s="209"/>
      <c r="H182" s="161"/>
      <c r="I182" s="159"/>
      <c r="J182" s="26"/>
    </row>
    <row r="183" spans="1:10" s="24" customFormat="1" ht="12.75" customHeight="1">
      <c r="A183" s="25" t="s">
        <v>13</v>
      </c>
      <c r="B183" s="22">
        <v>2004</v>
      </c>
      <c r="C183" s="55" t="s">
        <v>14</v>
      </c>
      <c r="D183" s="10" t="s">
        <v>345</v>
      </c>
      <c r="E183" s="252"/>
      <c r="F183" s="353">
        <v>442</v>
      </c>
      <c r="G183" s="100"/>
      <c r="H183" s="351">
        <v>73047</v>
      </c>
      <c r="I183" s="347">
        <f>$H183/$F183</f>
        <v>165.26470588235293</v>
      </c>
      <c r="J183" s="46"/>
    </row>
    <row r="184" spans="1:10" s="24" customFormat="1" ht="12.75" customHeight="1">
      <c r="A184" s="25" t="s">
        <v>13</v>
      </c>
      <c r="B184" s="22">
        <v>2004</v>
      </c>
      <c r="C184" s="55" t="s">
        <v>467</v>
      </c>
      <c r="D184" s="10" t="s">
        <v>315</v>
      </c>
      <c r="E184" s="253"/>
      <c r="F184" s="353"/>
      <c r="G184" s="100"/>
      <c r="H184" s="351"/>
      <c r="I184" s="347" t="e">
        <f>$H184/$F184</f>
        <v>#DIV/0!</v>
      </c>
      <c r="J184" s="46"/>
    </row>
    <row r="185" spans="1:10" s="24" customFormat="1" ht="12.75" customHeight="1">
      <c r="A185" s="25" t="s">
        <v>13</v>
      </c>
      <c r="B185" s="22">
        <v>2004</v>
      </c>
      <c r="C185" s="55" t="s">
        <v>467</v>
      </c>
      <c r="D185" s="10" t="s">
        <v>354</v>
      </c>
      <c r="E185" s="254"/>
      <c r="F185" s="353"/>
      <c r="G185" s="100"/>
      <c r="H185" s="351"/>
      <c r="I185" s="347" t="e">
        <f>$H185/$F185</f>
        <v>#DIV/0!</v>
      </c>
      <c r="J185" s="46"/>
    </row>
    <row r="186" spans="1:10" s="24" customFormat="1" ht="3" customHeight="1">
      <c r="A186" s="180"/>
      <c r="B186" s="166"/>
      <c r="C186" s="156"/>
      <c r="D186" s="156"/>
      <c r="E186" s="156"/>
      <c r="F186" s="156"/>
      <c r="G186" s="209"/>
      <c r="H186" s="161"/>
      <c r="I186" s="159"/>
      <c r="J186" s="26"/>
    </row>
    <row r="187" spans="1:10" s="24" customFormat="1" ht="12.75" customHeight="1">
      <c r="A187" s="25" t="s">
        <v>13</v>
      </c>
      <c r="B187" s="22">
        <v>2004</v>
      </c>
      <c r="C187" s="55" t="s">
        <v>720</v>
      </c>
      <c r="D187" s="10" t="s">
        <v>373</v>
      </c>
      <c r="E187" s="252"/>
      <c r="F187" s="353">
        <v>401</v>
      </c>
      <c r="G187" s="100"/>
      <c r="H187" s="351">
        <v>71033</v>
      </c>
      <c r="I187" s="347">
        <f>$H187/$F187</f>
        <v>177.13965087281795</v>
      </c>
      <c r="J187" s="46"/>
    </row>
    <row r="188" spans="1:10" s="24" customFormat="1" ht="12.75" customHeight="1">
      <c r="A188" s="25" t="s">
        <v>13</v>
      </c>
      <c r="B188" s="22">
        <v>2004</v>
      </c>
      <c r="C188" s="55" t="s">
        <v>721</v>
      </c>
      <c r="D188" s="10" t="s">
        <v>374</v>
      </c>
      <c r="E188" s="253"/>
      <c r="F188" s="353"/>
      <c r="G188" s="100"/>
      <c r="H188" s="351"/>
      <c r="I188" s="347" t="e">
        <f>$H188/$F188</f>
        <v>#DIV/0!</v>
      </c>
      <c r="J188" s="46"/>
    </row>
    <row r="189" spans="1:10" s="24" customFormat="1" ht="12.75" customHeight="1">
      <c r="A189" s="25" t="s">
        <v>13</v>
      </c>
      <c r="B189" s="22">
        <v>2004</v>
      </c>
      <c r="C189" s="55" t="s">
        <v>15</v>
      </c>
      <c r="D189" s="10" t="s">
        <v>312</v>
      </c>
      <c r="E189" s="253"/>
      <c r="F189" s="353"/>
      <c r="G189" s="100"/>
      <c r="H189" s="351"/>
      <c r="I189" s="347" t="e">
        <f>$H189/$F189</f>
        <v>#DIV/0!</v>
      </c>
      <c r="J189" s="46"/>
    </row>
    <row r="190" spans="1:10" s="24" customFormat="1" ht="12.75" customHeight="1">
      <c r="A190" s="25" t="s">
        <v>13</v>
      </c>
      <c r="B190" s="22">
        <v>2004</v>
      </c>
      <c r="C190" s="55" t="s">
        <v>467</v>
      </c>
      <c r="D190" s="10" t="s">
        <v>319</v>
      </c>
      <c r="E190" s="253"/>
      <c r="F190" s="353"/>
      <c r="G190" s="100"/>
      <c r="H190" s="351"/>
      <c r="I190" s="347" t="e">
        <f>$H190/$F190</f>
        <v>#DIV/0!</v>
      </c>
      <c r="J190" s="46"/>
    </row>
    <row r="191" spans="1:10" s="24" customFormat="1" ht="12.75" customHeight="1">
      <c r="A191" s="25" t="s">
        <v>13</v>
      </c>
      <c r="B191" s="22">
        <v>2004</v>
      </c>
      <c r="C191" s="55" t="s">
        <v>467</v>
      </c>
      <c r="D191" s="10" t="s">
        <v>356</v>
      </c>
      <c r="E191" s="254"/>
      <c r="F191" s="353"/>
      <c r="G191" s="100"/>
      <c r="H191" s="351"/>
      <c r="I191" s="347" t="e">
        <f>$H191/$F191</f>
        <v>#DIV/0!</v>
      </c>
      <c r="J191" s="46"/>
    </row>
    <row r="192" spans="1:10" s="24" customFormat="1" ht="3" customHeight="1">
      <c r="A192" s="180"/>
      <c r="B192" s="166"/>
      <c r="C192" s="156"/>
      <c r="D192" s="156"/>
      <c r="E192" s="156"/>
      <c r="F192" s="156"/>
      <c r="G192" s="209"/>
      <c r="H192" s="161"/>
      <c r="I192" s="159"/>
      <c r="J192" s="26"/>
    </row>
    <row r="193" spans="1:10" s="24" customFormat="1" ht="12.75" customHeight="1">
      <c r="A193" s="25" t="s">
        <v>13</v>
      </c>
      <c r="B193" s="22">
        <v>2004</v>
      </c>
      <c r="C193" s="55" t="s">
        <v>464</v>
      </c>
      <c r="D193" s="27" t="s">
        <v>353</v>
      </c>
      <c r="E193" s="252"/>
      <c r="F193" s="353">
        <v>184</v>
      </c>
      <c r="G193" s="100"/>
      <c r="H193" s="351">
        <v>33587</v>
      </c>
      <c r="I193" s="347">
        <f>$H193/$F193</f>
        <v>182.53804347826087</v>
      </c>
      <c r="J193" s="46"/>
    </row>
    <row r="194" spans="1:10" s="24" customFormat="1" ht="12.75" customHeight="1">
      <c r="A194" s="25" t="s">
        <v>13</v>
      </c>
      <c r="B194" s="22">
        <v>2004</v>
      </c>
      <c r="C194" s="55" t="s">
        <v>469</v>
      </c>
      <c r="D194" s="27" t="s">
        <v>337</v>
      </c>
      <c r="E194" s="254"/>
      <c r="F194" s="353"/>
      <c r="G194" s="100"/>
      <c r="H194" s="351"/>
      <c r="I194" s="347" t="e">
        <f>$H194/$F194</f>
        <v>#DIV/0!</v>
      </c>
      <c r="J194" s="46"/>
    </row>
    <row r="195" spans="1:10" s="24" customFormat="1" ht="3" customHeight="1">
      <c r="A195" s="180"/>
      <c r="B195" s="166"/>
      <c r="C195" s="185"/>
      <c r="D195" s="156"/>
      <c r="E195" s="180"/>
      <c r="F195" s="156"/>
      <c r="G195" s="209"/>
      <c r="H195" s="161"/>
      <c r="I195" s="159"/>
      <c r="J195" s="26"/>
    </row>
    <row r="196" spans="1:10" s="24" customFormat="1" ht="12.75" customHeight="1">
      <c r="A196" s="25" t="s">
        <v>13</v>
      </c>
      <c r="B196" s="22">
        <v>2004</v>
      </c>
      <c r="C196" s="55" t="s">
        <v>12</v>
      </c>
      <c r="D196" s="10" t="s">
        <v>358</v>
      </c>
      <c r="E196" s="252"/>
      <c r="F196" s="353">
        <v>16</v>
      </c>
      <c r="G196" s="100"/>
      <c r="H196" s="351">
        <v>2459</v>
      </c>
      <c r="I196" s="347">
        <f aca="true" t="shared" si="5" ref="I196:I202">$H196/$F196</f>
        <v>153.6875</v>
      </c>
      <c r="J196" s="46"/>
    </row>
    <row r="197" spans="1:10" s="24" customFormat="1" ht="12.75" customHeight="1">
      <c r="A197" s="25" t="s">
        <v>13</v>
      </c>
      <c r="B197" s="22">
        <v>2004</v>
      </c>
      <c r="C197" s="55" t="s">
        <v>292</v>
      </c>
      <c r="D197" s="10" t="s">
        <v>340</v>
      </c>
      <c r="E197" s="253"/>
      <c r="F197" s="353"/>
      <c r="G197" s="100"/>
      <c r="H197" s="351"/>
      <c r="I197" s="347" t="e">
        <f t="shared" si="5"/>
        <v>#DIV/0!</v>
      </c>
      <c r="J197" s="46"/>
    </row>
    <row r="198" spans="1:10" s="24" customFormat="1" ht="12.75" customHeight="1">
      <c r="A198" s="25" t="s">
        <v>13</v>
      </c>
      <c r="B198" s="22">
        <v>2004</v>
      </c>
      <c r="C198" s="55" t="s">
        <v>470</v>
      </c>
      <c r="D198" s="10" t="s">
        <v>341</v>
      </c>
      <c r="E198" s="253"/>
      <c r="F198" s="353"/>
      <c r="G198" s="100"/>
      <c r="H198" s="351"/>
      <c r="I198" s="347" t="e">
        <f t="shared" si="5"/>
        <v>#DIV/0!</v>
      </c>
      <c r="J198" s="46"/>
    </row>
    <row r="199" spans="1:10" s="24" customFormat="1" ht="12.75" customHeight="1">
      <c r="A199" s="25" t="s">
        <v>13</v>
      </c>
      <c r="B199" s="22">
        <v>2004</v>
      </c>
      <c r="C199" s="55" t="s">
        <v>722</v>
      </c>
      <c r="D199" s="10" t="s">
        <v>359</v>
      </c>
      <c r="E199" s="253"/>
      <c r="F199" s="353"/>
      <c r="G199" s="100"/>
      <c r="H199" s="351"/>
      <c r="I199" s="347" t="e">
        <f t="shared" si="5"/>
        <v>#DIV/0!</v>
      </c>
      <c r="J199" s="46"/>
    </row>
    <row r="200" spans="1:10" s="24" customFormat="1" ht="12.75" customHeight="1">
      <c r="A200" s="25" t="s">
        <v>13</v>
      </c>
      <c r="B200" s="22">
        <v>2004</v>
      </c>
      <c r="C200" s="55" t="s">
        <v>443</v>
      </c>
      <c r="D200" s="10" t="s">
        <v>360</v>
      </c>
      <c r="E200" s="254"/>
      <c r="F200" s="353"/>
      <c r="G200" s="100"/>
      <c r="H200" s="351"/>
      <c r="I200" s="347" t="e">
        <f t="shared" si="5"/>
        <v>#DIV/0!</v>
      </c>
      <c r="J200" s="46"/>
    </row>
    <row r="201" spans="1:10" s="24" customFormat="1" ht="3" customHeight="1">
      <c r="A201" s="180"/>
      <c r="B201" s="166"/>
      <c r="C201" s="185"/>
      <c r="D201" s="165"/>
      <c r="E201" s="180"/>
      <c r="F201" s="224"/>
      <c r="G201" s="209"/>
      <c r="H201" s="192"/>
      <c r="I201" s="193"/>
      <c r="J201" s="46"/>
    </row>
    <row r="202" spans="1:10" s="24" customFormat="1" ht="12.75" customHeight="1">
      <c r="A202" s="25" t="s">
        <v>13</v>
      </c>
      <c r="B202" s="22">
        <v>2004</v>
      </c>
      <c r="D202" s="24" t="s">
        <v>482</v>
      </c>
      <c r="F202" s="24">
        <v>580</v>
      </c>
      <c r="G202" s="100"/>
      <c r="H202" s="128">
        <v>93295</v>
      </c>
      <c r="I202" s="26">
        <f t="shared" si="5"/>
        <v>160.85344827586206</v>
      </c>
      <c r="J202" s="26"/>
    </row>
    <row r="203" spans="1:10" s="24" customFormat="1" ht="12.75" customHeight="1">
      <c r="A203" s="25"/>
      <c r="B203" s="22"/>
      <c r="G203" s="100"/>
      <c r="H203" s="128"/>
      <c r="I203" s="26"/>
      <c r="J203" s="26"/>
    </row>
    <row r="204" spans="1:10" s="24" customFormat="1" ht="12.75" customHeight="1">
      <c r="A204" s="25" t="s">
        <v>256</v>
      </c>
      <c r="B204" s="22">
        <v>2003</v>
      </c>
      <c r="C204" s="24" t="s">
        <v>255</v>
      </c>
      <c r="D204" s="8" t="s">
        <v>42</v>
      </c>
      <c r="F204" s="26">
        <v>0.431</v>
      </c>
      <c r="G204" s="100" t="s">
        <v>10</v>
      </c>
      <c r="H204" s="128">
        <f>370.373/0.5823</f>
        <v>636.0518633007041</v>
      </c>
      <c r="I204" s="149">
        <f>$H204/$F204</f>
        <v>1475.7583835283158</v>
      </c>
      <c r="J204" s="26"/>
    </row>
    <row r="205" spans="1:10" s="24" customFormat="1" ht="12.75" customHeight="1">
      <c r="A205" s="25" t="s">
        <v>256</v>
      </c>
      <c r="B205" s="22">
        <v>2003</v>
      </c>
      <c r="C205" s="24" t="s">
        <v>254</v>
      </c>
      <c r="F205" s="26">
        <v>0.067</v>
      </c>
      <c r="G205" s="100" t="s">
        <v>10</v>
      </c>
      <c r="H205" s="128">
        <f>101.217/0.5823</f>
        <v>173.82277176713032</v>
      </c>
      <c r="I205" s="149">
        <f>$H205/$F205</f>
        <v>2594.3697278676163</v>
      </c>
      <c r="J205" s="26"/>
    </row>
    <row r="206" spans="1:10" s="24" customFormat="1" ht="12.75" customHeight="1">
      <c r="A206" s="25" t="s">
        <v>256</v>
      </c>
      <c r="B206" s="22">
        <v>2003</v>
      </c>
      <c r="C206" s="24" t="s">
        <v>253</v>
      </c>
      <c r="F206" s="26">
        <v>0.011</v>
      </c>
      <c r="G206" s="100" t="s">
        <v>10</v>
      </c>
      <c r="H206" s="128">
        <f>72.602/0.5823</f>
        <v>124.68143568607248</v>
      </c>
      <c r="I206" s="260" t="s">
        <v>71</v>
      </c>
      <c r="J206" s="26"/>
    </row>
    <row r="207" spans="1:10" s="24" customFormat="1" ht="12.75" customHeight="1">
      <c r="A207" s="25" t="s">
        <v>256</v>
      </c>
      <c r="B207" s="22">
        <v>2003</v>
      </c>
      <c r="C207" s="24" t="s">
        <v>252</v>
      </c>
      <c r="F207" s="26">
        <v>0.002</v>
      </c>
      <c r="G207" s="100" t="s">
        <v>10</v>
      </c>
      <c r="H207" s="128">
        <f>1.964/0.5823</f>
        <v>3.372831873604671</v>
      </c>
      <c r="I207" s="149">
        <f>$H207/$F207</f>
        <v>1686.4159368023354</v>
      </c>
      <c r="J207" s="26"/>
    </row>
    <row r="208" spans="1:10" s="24" customFormat="1" ht="12.75" customHeight="1">
      <c r="A208" s="25"/>
      <c r="B208" s="22"/>
      <c r="F208" s="26"/>
      <c r="G208" s="100"/>
      <c r="H208" s="128"/>
      <c r="I208" s="26"/>
      <c r="J208" s="26"/>
    </row>
    <row r="209" spans="1:10" s="24" customFormat="1" ht="12.75" customHeight="1">
      <c r="A209" s="25" t="s">
        <v>256</v>
      </c>
      <c r="B209" s="22">
        <v>2004</v>
      </c>
      <c r="C209" s="24" t="s">
        <v>255</v>
      </c>
      <c r="D209" s="8" t="s">
        <v>42</v>
      </c>
      <c r="F209" s="26">
        <v>0.268</v>
      </c>
      <c r="G209" s="100" t="s">
        <v>10</v>
      </c>
      <c r="H209" s="128">
        <f>246.068/0.664</f>
        <v>370.5843373493976</v>
      </c>
      <c r="I209" s="149">
        <f>$H209/$F209</f>
        <v>1382.7773781693938</v>
      </c>
      <c r="J209" s="26"/>
    </row>
    <row r="210" spans="1:10" s="24" customFormat="1" ht="12.75" customHeight="1">
      <c r="A210" s="25" t="s">
        <v>256</v>
      </c>
      <c r="B210" s="22">
        <v>2004</v>
      </c>
      <c r="C210" s="24" t="s">
        <v>254</v>
      </c>
      <c r="F210" s="26">
        <v>0.085</v>
      </c>
      <c r="G210" s="100" t="s">
        <v>10</v>
      </c>
      <c r="H210" s="128">
        <f>36.648/0.664</f>
        <v>55.19277108433735</v>
      </c>
      <c r="I210" s="149">
        <f>$H210/$F210</f>
        <v>649.3267186392629</v>
      </c>
      <c r="J210" s="26"/>
    </row>
    <row r="211" spans="1:10" s="24" customFormat="1" ht="12.75" customHeight="1">
      <c r="A211" s="25" t="s">
        <v>256</v>
      </c>
      <c r="B211" s="22">
        <v>2004</v>
      </c>
      <c r="C211" s="24" t="s">
        <v>253</v>
      </c>
      <c r="F211" s="26">
        <v>0.006</v>
      </c>
      <c r="G211" s="100" t="s">
        <v>10</v>
      </c>
      <c r="H211" s="128">
        <f>4.917/0.664</f>
        <v>7.40512048192771</v>
      </c>
      <c r="I211" s="149">
        <f>$H211/$F211</f>
        <v>1234.1867469879517</v>
      </c>
      <c r="J211" s="26"/>
    </row>
    <row r="212" spans="1:10" s="24" customFormat="1" ht="12.75" customHeight="1">
      <c r="A212" s="25"/>
      <c r="B212" s="22"/>
      <c r="F212" s="26"/>
      <c r="G212" s="100"/>
      <c r="H212" s="128"/>
      <c r="I212" s="26"/>
      <c r="J212" s="26"/>
    </row>
    <row r="213" spans="1:9" ht="12.75" customHeight="1">
      <c r="A213" s="8" t="s">
        <v>55</v>
      </c>
      <c r="B213" s="22">
        <v>2003</v>
      </c>
      <c r="C213" s="8" t="s">
        <v>57</v>
      </c>
      <c r="D213" s="8" t="s">
        <v>42</v>
      </c>
      <c r="E213" s="78"/>
      <c r="F213" s="15">
        <v>0.128</v>
      </c>
      <c r="G213" s="101" t="s">
        <v>10</v>
      </c>
      <c r="H213" s="123">
        <f>145.617355441937</f>
        <v>145.617355441937</v>
      </c>
      <c r="I213" s="15">
        <f>$H213/$F213</f>
        <v>1137.6355893901327</v>
      </c>
    </row>
    <row r="214" spans="1:9" ht="12.75" customHeight="1">
      <c r="A214" s="165"/>
      <c r="B214" s="166"/>
      <c r="C214" s="167"/>
      <c r="D214" s="165"/>
      <c r="E214" s="202"/>
      <c r="F214" s="169"/>
      <c r="G214" s="170"/>
      <c r="H214" s="171"/>
      <c r="I214" s="169"/>
    </row>
    <row r="215" spans="1:9" ht="12.75" customHeight="1">
      <c r="A215" s="8" t="s">
        <v>55</v>
      </c>
      <c r="B215" s="22">
        <v>2004</v>
      </c>
      <c r="C215" s="8" t="s">
        <v>57</v>
      </c>
      <c r="D215" s="8" t="s">
        <v>42</v>
      </c>
      <c r="E215" s="78"/>
      <c r="F215" s="15">
        <v>0.064</v>
      </c>
      <c r="G215" s="101" t="s">
        <v>10</v>
      </c>
      <c r="H215" s="123">
        <v>70.76311417042487</v>
      </c>
      <c r="I215" s="15">
        <f>$H215/$F215</f>
        <v>1105.6736589128886</v>
      </c>
    </row>
    <row r="216" spans="5:8" ht="12.75" customHeight="1">
      <c r="E216" s="81"/>
      <c r="F216" s="40"/>
      <c r="H216" s="123"/>
    </row>
    <row r="217" spans="1:9" ht="12.75" customHeight="1">
      <c r="A217" s="8" t="s">
        <v>77</v>
      </c>
      <c r="B217" s="22">
        <v>2003</v>
      </c>
      <c r="C217" s="22" t="s">
        <v>613</v>
      </c>
      <c r="D217" s="8" t="s">
        <v>42</v>
      </c>
      <c r="E217" s="78"/>
      <c r="F217" s="15">
        <v>12</v>
      </c>
      <c r="H217" s="123">
        <v>1907</v>
      </c>
      <c r="I217" s="15">
        <f aca="true" t="shared" si="6" ref="I217:I222">$H217/$F217</f>
        <v>158.91666666666666</v>
      </c>
    </row>
    <row r="218" spans="1:9" ht="12.75" customHeight="1">
      <c r="A218" s="8" t="s">
        <v>77</v>
      </c>
      <c r="B218" s="22">
        <v>2003</v>
      </c>
      <c r="C218" s="8" t="s">
        <v>614</v>
      </c>
      <c r="D218" s="8"/>
      <c r="E218" s="78"/>
      <c r="F218" s="15">
        <v>8</v>
      </c>
      <c r="H218" s="123">
        <v>849</v>
      </c>
      <c r="I218" s="15">
        <f t="shared" si="6"/>
        <v>106.125</v>
      </c>
    </row>
    <row r="219" spans="1:9" ht="12.75" customHeight="1">
      <c r="A219" s="8" t="s">
        <v>77</v>
      </c>
      <c r="B219" s="22">
        <v>2003</v>
      </c>
      <c r="C219" s="22" t="s">
        <v>215</v>
      </c>
      <c r="D219" s="8"/>
      <c r="E219" s="78"/>
      <c r="F219" s="15">
        <v>4</v>
      </c>
      <c r="H219" s="123">
        <v>545</v>
      </c>
      <c r="I219" s="15">
        <f t="shared" si="6"/>
        <v>136.25</v>
      </c>
    </row>
    <row r="220" spans="1:9" ht="12.75" customHeight="1">
      <c r="A220" s="8" t="s">
        <v>77</v>
      </c>
      <c r="B220" s="22">
        <v>2003</v>
      </c>
      <c r="C220" s="22" t="s">
        <v>615</v>
      </c>
      <c r="D220" s="8"/>
      <c r="E220" s="78"/>
      <c r="F220" s="15">
        <v>3</v>
      </c>
      <c r="H220" s="123">
        <v>442</v>
      </c>
      <c r="I220" s="15">
        <f t="shared" si="6"/>
        <v>147.33333333333334</v>
      </c>
    </row>
    <row r="221" spans="1:9" ht="12.75" customHeight="1">
      <c r="A221" s="8" t="s">
        <v>77</v>
      </c>
      <c r="B221" s="22">
        <v>2003</v>
      </c>
      <c r="C221" s="22" t="s">
        <v>616</v>
      </c>
      <c r="D221" s="8"/>
      <c r="E221" s="78"/>
      <c r="F221" s="15">
        <v>1</v>
      </c>
      <c r="H221" s="123">
        <v>180</v>
      </c>
      <c r="I221" s="15">
        <f t="shared" si="6"/>
        <v>180</v>
      </c>
    </row>
    <row r="222" spans="1:9" ht="12.75" customHeight="1">
      <c r="A222" s="8" t="s">
        <v>77</v>
      </c>
      <c r="B222" s="22">
        <v>2003</v>
      </c>
      <c r="C222" s="22" t="s">
        <v>617</v>
      </c>
      <c r="D222" s="8"/>
      <c r="E222" s="78"/>
      <c r="F222" s="15">
        <v>1</v>
      </c>
      <c r="H222" s="123">
        <v>116</v>
      </c>
      <c r="I222" s="15">
        <f t="shared" si="6"/>
        <v>116</v>
      </c>
    </row>
    <row r="223" spans="1:9" ht="12.75" customHeight="1">
      <c r="A223" s="8" t="s">
        <v>77</v>
      </c>
      <c r="B223" s="22">
        <v>2003</v>
      </c>
      <c r="C223" s="22" t="s">
        <v>618</v>
      </c>
      <c r="D223" s="8"/>
      <c r="E223" s="78"/>
      <c r="F223" s="15">
        <v>0</v>
      </c>
      <c r="G223" s="101" t="s">
        <v>10</v>
      </c>
      <c r="H223" s="123">
        <v>239</v>
      </c>
      <c r="I223" s="69" t="s">
        <v>71</v>
      </c>
    </row>
    <row r="224" spans="1:9" ht="12.75" customHeight="1">
      <c r="A224" s="8" t="s">
        <v>77</v>
      </c>
      <c r="B224" s="22">
        <v>2003</v>
      </c>
      <c r="C224" s="8"/>
      <c r="D224" s="8" t="s">
        <v>482</v>
      </c>
      <c r="E224" s="78"/>
      <c r="F224" s="15">
        <v>429</v>
      </c>
      <c r="H224" s="123">
        <v>49965</v>
      </c>
      <c r="I224" s="15">
        <f>$H224/$F224</f>
        <v>116.46853146853147</v>
      </c>
    </row>
    <row r="225" spans="3:8" ht="12.75" customHeight="1">
      <c r="C225" s="8"/>
      <c r="D225" s="8"/>
      <c r="E225" s="78"/>
      <c r="H225" s="123"/>
    </row>
    <row r="226" spans="1:9" ht="12.75" customHeight="1">
      <c r="A226" s="8" t="s">
        <v>77</v>
      </c>
      <c r="B226" s="22">
        <v>2004</v>
      </c>
      <c r="C226" s="22" t="s">
        <v>613</v>
      </c>
      <c r="D226" s="8" t="s">
        <v>42</v>
      </c>
      <c r="E226" s="78"/>
      <c r="F226" s="15">
        <v>13</v>
      </c>
      <c r="H226" s="123">
        <v>2236</v>
      </c>
      <c r="I226" s="15">
        <f>$H226/$F226</f>
        <v>172</v>
      </c>
    </row>
    <row r="227" spans="1:9" ht="12.75" customHeight="1">
      <c r="A227" s="8" t="s">
        <v>77</v>
      </c>
      <c r="B227" s="22">
        <v>2004</v>
      </c>
      <c r="C227" s="8" t="s">
        <v>614</v>
      </c>
      <c r="D227" s="8"/>
      <c r="E227" s="78"/>
      <c r="F227" s="15">
        <v>10</v>
      </c>
      <c r="H227" s="123">
        <v>1345</v>
      </c>
      <c r="I227" s="15">
        <f>$H227/$F227</f>
        <v>134.5</v>
      </c>
    </row>
    <row r="228" spans="1:9" ht="12.75" customHeight="1">
      <c r="A228" s="8" t="s">
        <v>77</v>
      </c>
      <c r="B228" s="22">
        <v>2004</v>
      </c>
      <c r="C228" s="22" t="s">
        <v>215</v>
      </c>
      <c r="D228" s="8"/>
      <c r="E228" s="78"/>
      <c r="F228" s="15">
        <v>5</v>
      </c>
      <c r="H228" s="123">
        <v>689</v>
      </c>
      <c r="I228" s="15">
        <f>$H228/$F228</f>
        <v>137.8</v>
      </c>
    </row>
    <row r="229" spans="1:9" ht="12.75" customHeight="1">
      <c r="A229" s="8" t="s">
        <v>77</v>
      </c>
      <c r="B229" s="22">
        <v>2004</v>
      </c>
      <c r="C229" s="22" t="s">
        <v>616</v>
      </c>
      <c r="D229" s="8"/>
      <c r="E229" s="78"/>
      <c r="F229" s="15">
        <v>2</v>
      </c>
      <c r="H229" s="123">
        <v>370</v>
      </c>
      <c r="I229" s="15">
        <f>$H229/$F229</f>
        <v>185</v>
      </c>
    </row>
    <row r="230" spans="1:9" ht="12.75" customHeight="1">
      <c r="A230" s="8" t="s">
        <v>77</v>
      </c>
      <c r="B230" s="22">
        <v>2004</v>
      </c>
      <c r="C230" s="22" t="s">
        <v>615</v>
      </c>
      <c r="D230" s="8"/>
      <c r="E230" s="78"/>
      <c r="F230" s="15">
        <v>2</v>
      </c>
      <c r="H230" s="123">
        <v>266</v>
      </c>
      <c r="I230" s="15">
        <f>$H230/$F230</f>
        <v>133</v>
      </c>
    </row>
    <row r="231" spans="1:9" ht="12.75" customHeight="1">
      <c r="A231" s="8" t="s">
        <v>77</v>
      </c>
      <c r="B231" s="22">
        <v>2004</v>
      </c>
      <c r="C231" s="22" t="s">
        <v>618</v>
      </c>
      <c r="D231" s="8"/>
      <c r="E231" s="78"/>
      <c r="F231" s="15">
        <v>0</v>
      </c>
      <c r="G231" s="101" t="s">
        <v>10</v>
      </c>
      <c r="H231" s="123">
        <v>46</v>
      </c>
      <c r="I231" s="69" t="s">
        <v>71</v>
      </c>
    </row>
    <row r="232" spans="1:9" ht="12.75" customHeight="1">
      <c r="A232" s="8" t="s">
        <v>77</v>
      </c>
      <c r="B232" s="22">
        <v>2004</v>
      </c>
      <c r="C232" s="22" t="s">
        <v>617</v>
      </c>
      <c r="D232" s="8"/>
      <c r="E232" s="78"/>
      <c r="F232" s="15">
        <v>0</v>
      </c>
      <c r="G232" s="101" t="s">
        <v>10</v>
      </c>
      <c r="H232" s="123">
        <v>76</v>
      </c>
      <c r="I232" s="69" t="s">
        <v>71</v>
      </c>
    </row>
    <row r="233" spans="1:9" ht="12.75" customHeight="1">
      <c r="A233" s="8" t="s">
        <v>77</v>
      </c>
      <c r="B233" s="22">
        <v>2004</v>
      </c>
      <c r="C233" s="8"/>
      <c r="D233" s="8" t="s">
        <v>482</v>
      </c>
      <c r="E233" s="78"/>
      <c r="F233" s="15">
        <v>425</v>
      </c>
      <c r="H233" s="123">
        <v>53430</v>
      </c>
      <c r="I233" s="15">
        <f>$H233/$F233</f>
        <v>125.71764705882353</v>
      </c>
    </row>
    <row r="234" spans="2:11" s="165" customFormat="1" ht="12.75" customHeight="1">
      <c r="B234" s="166"/>
      <c r="E234" s="202"/>
      <c r="F234" s="169"/>
      <c r="G234" s="170"/>
      <c r="H234" s="171"/>
      <c r="I234" s="169"/>
      <c r="J234" s="169"/>
      <c r="K234" s="228"/>
    </row>
    <row r="235" spans="1:9" ht="12.75" customHeight="1">
      <c r="A235" s="8" t="s">
        <v>165</v>
      </c>
      <c r="B235" s="22">
        <v>2003</v>
      </c>
      <c r="C235" s="8" t="s">
        <v>214</v>
      </c>
      <c r="D235" s="8" t="s">
        <v>42</v>
      </c>
      <c r="E235" s="78"/>
      <c r="F235" s="15">
        <v>1.526</v>
      </c>
      <c r="H235" s="123">
        <f>804.888</f>
        <v>804.888</v>
      </c>
      <c r="I235" s="15">
        <f>$H235/$F235</f>
        <v>527.4495412844037</v>
      </c>
    </row>
    <row r="236" spans="1:9" ht="12.75" customHeight="1">
      <c r="A236" s="8" t="s">
        <v>165</v>
      </c>
      <c r="B236" s="22">
        <v>2003</v>
      </c>
      <c r="C236" s="8" t="s">
        <v>215</v>
      </c>
      <c r="D236" s="8"/>
      <c r="E236" s="78"/>
      <c r="F236" s="15">
        <v>0.038</v>
      </c>
      <c r="G236" s="101" t="s">
        <v>10</v>
      </c>
      <c r="H236" s="123">
        <f>30.212</f>
        <v>30.212</v>
      </c>
      <c r="I236" s="15">
        <f>$H236/$F236</f>
        <v>795.0526315789474</v>
      </c>
    </row>
    <row r="237" spans="3:8" ht="12.75" customHeight="1">
      <c r="C237" s="8"/>
      <c r="D237" s="8"/>
      <c r="E237" s="78"/>
      <c r="H237" s="123"/>
    </row>
    <row r="238" spans="1:9" ht="12.75" customHeight="1">
      <c r="A238" s="8" t="s">
        <v>165</v>
      </c>
      <c r="B238" s="22">
        <v>2004</v>
      </c>
      <c r="C238" s="8" t="s">
        <v>214</v>
      </c>
      <c r="D238" s="8" t="s">
        <v>42</v>
      </c>
      <c r="E238" s="78"/>
      <c r="F238" s="15">
        <v>1.662</v>
      </c>
      <c r="H238" s="123">
        <v>1040.624</v>
      </c>
      <c r="I238" s="15">
        <f>$H238/$F238</f>
        <v>626.1275571600481</v>
      </c>
    </row>
    <row r="239" spans="3:8" ht="12.75" customHeight="1">
      <c r="C239" s="8"/>
      <c r="D239" s="8"/>
      <c r="E239" s="78"/>
      <c r="H239" s="123"/>
    </row>
    <row r="240" spans="3:8" ht="3" customHeight="1">
      <c r="C240" s="8"/>
      <c r="D240" s="8"/>
      <c r="E240" s="78"/>
      <c r="H240" s="123"/>
    </row>
    <row r="241" spans="1:9" ht="12.75" customHeight="1">
      <c r="A241" s="8" t="s">
        <v>17</v>
      </c>
      <c r="B241" s="22">
        <v>2003</v>
      </c>
      <c r="C241" s="31" t="s">
        <v>90</v>
      </c>
      <c r="D241" s="75" t="s">
        <v>392</v>
      </c>
      <c r="E241" s="246"/>
      <c r="F241" s="345">
        <v>0.009</v>
      </c>
      <c r="G241" s="357" t="s">
        <v>10</v>
      </c>
      <c r="H241" s="348">
        <v>2.725</v>
      </c>
      <c r="I241" s="344">
        <f>$H241/$F241</f>
        <v>302.7777777777778</v>
      </c>
    </row>
    <row r="242" spans="1:9" ht="12.75" customHeight="1">
      <c r="A242" s="8" t="s">
        <v>17</v>
      </c>
      <c r="B242" s="22">
        <v>2003</v>
      </c>
      <c r="C242" s="31" t="s">
        <v>185</v>
      </c>
      <c r="D242" s="75" t="s">
        <v>391</v>
      </c>
      <c r="E242" s="247"/>
      <c r="F242" s="345"/>
      <c r="G242" s="357"/>
      <c r="H242" s="348"/>
      <c r="I242" s="344" t="e">
        <f>$H242/$F242</f>
        <v>#DIV/0!</v>
      </c>
    </row>
    <row r="243" spans="1:9" ht="12.75" customHeight="1">
      <c r="A243" s="8" t="s">
        <v>17</v>
      </c>
      <c r="B243" s="22">
        <v>2003</v>
      </c>
      <c r="C243" s="31" t="s">
        <v>7</v>
      </c>
      <c r="D243" s="75" t="s">
        <v>448</v>
      </c>
      <c r="E243" s="247"/>
      <c r="F243" s="345"/>
      <c r="G243" s="357"/>
      <c r="H243" s="348"/>
      <c r="I243" s="344" t="e">
        <f>$H243/$F243</f>
        <v>#DIV/0!</v>
      </c>
    </row>
    <row r="244" spans="1:9" ht="12.75" customHeight="1">
      <c r="A244" s="8" t="s">
        <v>17</v>
      </c>
      <c r="B244" s="22">
        <v>2003</v>
      </c>
      <c r="C244" s="31" t="s">
        <v>183</v>
      </c>
      <c r="D244" s="75" t="s">
        <v>393</v>
      </c>
      <c r="E244" s="247"/>
      <c r="F244" s="345"/>
      <c r="G244" s="357"/>
      <c r="H244" s="348"/>
      <c r="I244" s="344" t="e">
        <f>$H244/$F244</f>
        <v>#DIV/0!</v>
      </c>
    </row>
    <row r="245" spans="1:9" ht="12.75" customHeight="1">
      <c r="A245" s="8" t="s">
        <v>17</v>
      </c>
      <c r="B245" s="22">
        <v>2003</v>
      </c>
      <c r="C245" s="31" t="s">
        <v>4</v>
      </c>
      <c r="D245" s="75" t="s">
        <v>447</v>
      </c>
      <c r="E245" s="248"/>
      <c r="F245" s="345"/>
      <c r="G245" s="357"/>
      <c r="H245" s="348"/>
      <c r="I245" s="344" t="e">
        <f>$H245/$F245</f>
        <v>#DIV/0!</v>
      </c>
    </row>
    <row r="246" spans="1:9" ht="12.75" customHeight="1">
      <c r="A246" s="165"/>
      <c r="B246" s="166"/>
      <c r="C246" s="165"/>
      <c r="D246" s="165"/>
      <c r="E246" s="202"/>
      <c r="F246" s="169"/>
      <c r="G246" s="170"/>
      <c r="H246" s="171"/>
      <c r="I246" s="169"/>
    </row>
    <row r="247" spans="1:10" ht="12.75" customHeight="1">
      <c r="A247" s="8" t="s">
        <v>681</v>
      </c>
      <c r="B247" s="22">
        <v>2003</v>
      </c>
      <c r="C247" s="9" t="s">
        <v>26</v>
      </c>
      <c r="D247" s="10" t="s">
        <v>361</v>
      </c>
      <c r="E247" s="81"/>
      <c r="F247" s="40">
        <v>3</v>
      </c>
      <c r="H247" s="125" t="s">
        <v>71</v>
      </c>
      <c r="I247" s="69" t="s">
        <v>71</v>
      </c>
      <c r="J247" s="69"/>
    </row>
    <row r="248" spans="1:10" ht="12.75" customHeight="1">
      <c r="A248" s="8" t="s">
        <v>681</v>
      </c>
      <c r="B248" s="22">
        <v>2003</v>
      </c>
      <c r="C248" s="9" t="s">
        <v>3</v>
      </c>
      <c r="D248" s="10" t="s">
        <v>331</v>
      </c>
      <c r="E248" s="81"/>
      <c r="F248" s="40">
        <v>2</v>
      </c>
      <c r="H248" s="125" t="s">
        <v>71</v>
      </c>
      <c r="I248" s="69" t="s">
        <v>71</v>
      </c>
      <c r="J248" s="69"/>
    </row>
    <row r="249" spans="3:8" ht="12.75" customHeight="1">
      <c r="C249" s="8"/>
      <c r="D249" s="8"/>
      <c r="E249" s="78"/>
      <c r="H249" s="123"/>
    </row>
    <row r="250" spans="1:9" ht="12.75" customHeight="1">
      <c r="A250" s="8" t="s">
        <v>94</v>
      </c>
      <c r="B250" s="22">
        <v>2003</v>
      </c>
      <c r="C250" s="8" t="s">
        <v>709</v>
      </c>
      <c r="D250" s="8" t="s">
        <v>42</v>
      </c>
      <c r="E250" s="78"/>
      <c r="F250" s="15">
        <v>0.6864152100000002</v>
      </c>
      <c r="G250" s="101" t="s">
        <v>180</v>
      </c>
      <c r="H250" s="123">
        <v>331.119</v>
      </c>
      <c r="I250" s="15">
        <f>$H250/$F250</f>
        <v>482.3887862275079</v>
      </c>
    </row>
    <row r="251" spans="1:9" ht="12.75" customHeight="1">
      <c r="A251" s="8" t="s">
        <v>94</v>
      </c>
      <c r="B251" s="22">
        <v>2003</v>
      </c>
      <c r="C251" s="8" t="s">
        <v>96</v>
      </c>
      <c r="D251" s="8"/>
      <c r="E251" s="78"/>
      <c r="F251" s="15">
        <v>0.36791897999999995</v>
      </c>
      <c r="G251" s="101" t="s">
        <v>181</v>
      </c>
      <c r="H251" s="123">
        <v>175.024</v>
      </c>
      <c r="I251" s="15">
        <f>$H251/$F251</f>
        <v>475.7134301687834</v>
      </c>
    </row>
    <row r="252" spans="1:9" ht="12.75" customHeight="1">
      <c r="A252" s="8" t="s">
        <v>94</v>
      </c>
      <c r="B252" s="22">
        <v>2003</v>
      </c>
      <c r="C252" s="8" t="s">
        <v>710</v>
      </c>
      <c r="D252" s="8"/>
      <c r="E252" s="78"/>
      <c r="F252" s="15">
        <v>0.10244586000000001</v>
      </c>
      <c r="G252" s="101" t="s">
        <v>181</v>
      </c>
      <c r="H252" s="123">
        <v>160.193</v>
      </c>
      <c r="I252" s="15">
        <f>$H252/$F252</f>
        <v>1563.6844670931553</v>
      </c>
    </row>
    <row r="253" spans="1:9" ht="12.75" customHeight="1">
      <c r="A253" s="8" t="s">
        <v>94</v>
      </c>
      <c r="B253" s="22">
        <v>2003</v>
      </c>
      <c r="C253" s="8" t="s">
        <v>711</v>
      </c>
      <c r="D253" s="8"/>
      <c r="E253" s="78"/>
      <c r="F253" s="15">
        <v>0.01265469</v>
      </c>
      <c r="G253" s="101" t="s">
        <v>181</v>
      </c>
      <c r="H253" s="123">
        <v>42.095</v>
      </c>
      <c r="I253" s="15">
        <f>$H253/$F253</f>
        <v>3326.434705235766</v>
      </c>
    </row>
    <row r="254" spans="3:9" ht="12.75" customHeight="1">
      <c r="C254" s="8"/>
      <c r="D254" s="8"/>
      <c r="E254" s="78"/>
      <c r="G254" s="8"/>
      <c r="H254" s="8"/>
      <c r="I254" s="8"/>
    </row>
    <row r="255" spans="1:9" ht="12.75" customHeight="1">
      <c r="A255" s="8" t="s">
        <v>94</v>
      </c>
      <c r="B255" s="22">
        <v>2004</v>
      </c>
      <c r="C255" s="8" t="s">
        <v>712</v>
      </c>
      <c r="D255" s="8" t="s">
        <v>42</v>
      </c>
      <c r="E255" s="78"/>
      <c r="F255" s="15">
        <v>6.44917225</v>
      </c>
      <c r="G255" s="101" t="s">
        <v>180</v>
      </c>
      <c r="H255" s="123">
        <v>1403.286</v>
      </c>
      <c r="I255" s="15">
        <f aca="true" t="shared" si="7" ref="I255:I260">$H255/$F255</f>
        <v>217.59164519136544</v>
      </c>
    </row>
    <row r="256" spans="1:9" ht="12.75" customHeight="1">
      <c r="A256" s="8" t="s">
        <v>94</v>
      </c>
      <c r="B256" s="22">
        <v>2004</v>
      </c>
      <c r="C256" s="8" t="s">
        <v>709</v>
      </c>
      <c r="D256" s="8"/>
      <c r="E256" s="78"/>
      <c r="F256" s="15">
        <v>3.3524913800000005</v>
      </c>
      <c r="G256" s="101" t="s">
        <v>180</v>
      </c>
      <c r="H256" s="123">
        <v>668.356</v>
      </c>
      <c r="I256" s="15">
        <f t="shared" si="7"/>
        <v>199.3609898558486</v>
      </c>
    </row>
    <row r="257" spans="1:9" ht="12.75" customHeight="1">
      <c r="A257" s="8" t="s">
        <v>94</v>
      </c>
      <c r="B257" s="22">
        <v>2004</v>
      </c>
      <c r="C257" s="8" t="s">
        <v>556</v>
      </c>
      <c r="D257" s="8"/>
      <c r="E257" s="78"/>
      <c r="F257" s="15">
        <v>0.02734246</v>
      </c>
      <c r="G257" s="101" t="s">
        <v>181</v>
      </c>
      <c r="H257" s="123">
        <v>10.256</v>
      </c>
      <c r="I257" s="15">
        <f t="shared" si="7"/>
        <v>375.094267304405</v>
      </c>
    </row>
    <row r="258" spans="1:9" ht="12.75" customHeight="1">
      <c r="A258" s="8" t="s">
        <v>94</v>
      </c>
      <c r="B258" s="22">
        <v>2004</v>
      </c>
      <c r="C258" s="8" t="s">
        <v>554</v>
      </c>
      <c r="D258" s="8"/>
      <c r="E258" s="78"/>
      <c r="F258" s="15">
        <v>0.00390587</v>
      </c>
      <c r="G258" s="101" t="s">
        <v>181</v>
      </c>
      <c r="H258" s="123">
        <v>0.811</v>
      </c>
      <c r="I258" s="15">
        <f t="shared" si="7"/>
        <v>207.6361988494241</v>
      </c>
    </row>
    <row r="259" spans="1:9" ht="12.75" customHeight="1">
      <c r="A259" s="8" t="s">
        <v>94</v>
      </c>
      <c r="B259" s="22">
        <v>2004</v>
      </c>
      <c r="C259" s="8" t="s">
        <v>713</v>
      </c>
      <c r="D259" s="8"/>
      <c r="E259" s="78"/>
      <c r="F259" s="15">
        <v>0.0035962500000000005</v>
      </c>
      <c r="G259" s="101" t="s">
        <v>181</v>
      </c>
      <c r="H259" s="123">
        <v>7.4</v>
      </c>
      <c r="I259" s="15">
        <f t="shared" si="7"/>
        <v>2057.698992005561</v>
      </c>
    </row>
    <row r="260" spans="1:9" ht="12.75" customHeight="1">
      <c r="A260" s="8" t="s">
        <v>94</v>
      </c>
      <c r="B260" s="22">
        <v>2004</v>
      </c>
      <c r="C260" s="8" t="s">
        <v>553</v>
      </c>
      <c r="D260" s="8"/>
      <c r="E260" s="78"/>
      <c r="F260" s="15">
        <v>0.0027263</v>
      </c>
      <c r="G260" s="101" t="s">
        <v>181</v>
      </c>
      <c r="H260" s="123">
        <v>1</v>
      </c>
      <c r="I260" s="15">
        <f t="shared" si="7"/>
        <v>366.7974911051608</v>
      </c>
    </row>
    <row r="261" spans="3:8" ht="12.75" customHeight="1">
      <c r="C261" s="8"/>
      <c r="D261" s="8"/>
      <c r="E261" s="78"/>
      <c r="H261" s="123"/>
    </row>
    <row r="262" spans="1:10" ht="12.75" customHeight="1">
      <c r="A262" s="8" t="s">
        <v>293</v>
      </c>
      <c r="B262" s="22" t="s">
        <v>682</v>
      </c>
      <c r="C262" s="9" t="s">
        <v>5</v>
      </c>
      <c r="D262" s="10" t="s">
        <v>362</v>
      </c>
      <c r="E262" s="81"/>
      <c r="F262" s="40">
        <v>107</v>
      </c>
      <c r="H262" s="123">
        <f>60193</f>
        <v>60193</v>
      </c>
      <c r="I262" s="15">
        <f>$H262/$F262</f>
        <v>562.5514018691589</v>
      </c>
      <c r="J262" s="21"/>
    </row>
    <row r="263" spans="1:10" ht="12.75" customHeight="1">
      <c r="A263" s="8" t="s">
        <v>293</v>
      </c>
      <c r="B263" s="22" t="s">
        <v>682</v>
      </c>
      <c r="C263" s="9" t="s">
        <v>463</v>
      </c>
      <c r="D263" s="10" t="s">
        <v>370</v>
      </c>
      <c r="E263" s="81"/>
      <c r="F263" s="40">
        <v>56</v>
      </c>
      <c r="H263" s="123">
        <f>9156</f>
        <v>9156</v>
      </c>
      <c r="I263" s="15">
        <f>$H263/$F263</f>
        <v>163.5</v>
      </c>
      <c r="J263" s="21"/>
    </row>
    <row r="264" spans="1:10" ht="12.75" customHeight="1">
      <c r="A264" s="8" t="s">
        <v>293</v>
      </c>
      <c r="B264" s="22" t="s">
        <v>682</v>
      </c>
      <c r="C264" s="9" t="s">
        <v>445</v>
      </c>
      <c r="D264" s="10" t="s">
        <v>371</v>
      </c>
      <c r="E264" s="81"/>
      <c r="F264" s="40">
        <v>21</v>
      </c>
      <c r="H264" s="123">
        <f>8192</f>
        <v>8192</v>
      </c>
      <c r="I264" s="15">
        <f>$H264/$F264</f>
        <v>390.0952380952381</v>
      </c>
      <c r="J264" s="21"/>
    </row>
    <row r="265" spans="1:9" ht="12.75" customHeight="1">
      <c r="A265" s="8" t="s">
        <v>293</v>
      </c>
      <c r="B265" s="22" t="s">
        <v>682</v>
      </c>
      <c r="C265" s="9" t="s">
        <v>464</v>
      </c>
      <c r="D265" s="10" t="s">
        <v>324</v>
      </c>
      <c r="E265" s="81"/>
      <c r="F265" s="40">
        <v>3</v>
      </c>
      <c r="H265" s="123">
        <f>449</f>
        <v>449</v>
      </c>
      <c r="I265" s="15">
        <f>$H265/$F265</f>
        <v>149.66666666666666</v>
      </c>
    </row>
    <row r="266" spans="1:9" ht="12.75" customHeight="1">
      <c r="A266" s="8" t="s">
        <v>293</v>
      </c>
      <c r="B266" s="22" t="s">
        <v>682</v>
      </c>
      <c r="C266" s="9" t="s">
        <v>465</v>
      </c>
      <c r="D266" s="10" t="s">
        <v>372</v>
      </c>
      <c r="E266" s="81"/>
      <c r="F266" s="40">
        <v>3</v>
      </c>
      <c r="H266" s="123">
        <f>655</f>
        <v>655</v>
      </c>
      <c r="I266" s="15">
        <f>$H266/$F266</f>
        <v>218.33333333333334</v>
      </c>
    </row>
    <row r="267" spans="5:8" ht="12.75" customHeight="1">
      <c r="E267" s="81"/>
      <c r="F267" s="40"/>
      <c r="H267" s="123"/>
    </row>
    <row r="268" spans="1:9" ht="12.75" customHeight="1">
      <c r="A268" s="8" t="s">
        <v>293</v>
      </c>
      <c r="B268" s="22">
        <v>2004</v>
      </c>
      <c r="C268" s="9" t="s">
        <v>5</v>
      </c>
      <c r="D268" s="10" t="s">
        <v>362</v>
      </c>
      <c r="E268" s="81"/>
      <c r="F268" s="40">
        <v>101.23</v>
      </c>
      <c r="H268" s="123"/>
      <c r="I268" s="15">
        <f>58830.27/F268</f>
        <v>581.1544996542526</v>
      </c>
    </row>
    <row r="269" spans="1:9" ht="12.75" customHeight="1">
      <c r="A269" s="8" t="s">
        <v>293</v>
      </c>
      <c r="B269" s="22">
        <v>2004</v>
      </c>
      <c r="C269" s="9" t="s">
        <v>735</v>
      </c>
      <c r="D269" s="10" t="s">
        <v>370</v>
      </c>
      <c r="E269" s="81"/>
      <c r="F269" s="40">
        <v>38.247</v>
      </c>
      <c r="H269" s="123"/>
      <c r="I269" s="15">
        <f>5795.5/F269</f>
        <v>151.52822443590347</v>
      </c>
    </row>
    <row r="270" spans="1:9" ht="12.75" customHeight="1">
      <c r="A270" s="8" t="s">
        <v>293</v>
      </c>
      <c r="B270" s="22">
        <v>2004</v>
      </c>
      <c r="C270" s="9" t="s">
        <v>477</v>
      </c>
      <c r="D270" s="10" t="s">
        <v>739</v>
      </c>
      <c r="E270" s="81"/>
      <c r="F270" s="40">
        <v>19.99</v>
      </c>
      <c r="H270" s="123"/>
      <c r="I270" s="15">
        <f>267.34/F270</f>
        <v>13.37368684342171</v>
      </c>
    </row>
    <row r="271" spans="1:9" ht="12.75" customHeight="1">
      <c r="A271" s="8" t="s">
        <v>293</v>
      </c>
      <c r="B271" s="22">
        <v>2004</v>
      </c>
      <c r="C271" s="9" t="s">
        <v>464</v>
      </c>
      <c r="D271" s="10" t="s">
        <v>324</v>
      </c>
      <c r="E271" s="81"/>
      <c r="F271" s="40">
        <v>15.52</v>
      </c>
      <c r="H271" s="123"/>
      <c r="I271" s="15">
        <f>2121.23/F271</f>
        <v>136.67719072164948</v>
      </c>
    </row>
    <row r="272" spans="1:9" ht="12.75" customHeight="1">
      <c r="A272" s="8" t="s">
        <v>293</v>
      </c>
      <c r="B272" s="22">
        <v>2004</v>
      </c>
      <c r="C272" s="9" t="s">
        <v>467</v>
      </c>
      <c r="D272" s="10" t="s">
        <v>654</v>
      </c>
      <c r="E272" s="81"/>
      <c r="F272" s="40">
        <v>0.53</v>
      </c>
      <c r="H272" s="123"/>
      <c r="I272" s="15">
        <f>105.71/F272</f>
        <v>199.45283018867923</v>
      </c>
    </row>
    <row r="273" spans="1:9" ht="12.75" customHeight="1">
      <c r="A273" s="8" t="s">
        <v>293</v>
      </c>
      <c r="B273" s="22">
        <v>2004</v>
      </c>
      <c r="C273" s="9" t="s">
        <v>465</v>
      </c>
      <c r="D273" s="10" t="s">
        <v>372</v>
      </c>
      <c r="E273" s="81"/>
      <c r="F273" s="40">
        <v>0.37</v>
      </c>
      <c r="G273" s="101" t="s">
        <v>10</v>
      </c>
      <c r="H273" s="123"/>
      <c r="I273" s="15">
        <f>126.5/F273</f>
        <v>341.8918918918919</v>
      </c>
    </row>
    <row r="274" spans="1:9" ht="12.75" customHeight="1">
      <c r="A274" s="8" t="s">
        <v>293</v>
      </c>
      <c r="B274" s="22">
        <v>2004</v>
      </c>
      <c r="C274" s="9" t="s">
        <v>652</v>
      </c>
      <c r="D274" s="10" t="s">
        <v>656</v>
      </c>
      <c r="E274" s="81"/>
      <c r="F274" s="40">
        <v>0.29</v>
      </c>
      <c r="G274" s="101" t="s">
        <v>10</v>
      </c>
      <c r="H274" s="123"/>
      <c r="I274" s="15">
        <f>31.84/F274</f>
        <v>109.79310344827587</v>
      </c>
    </row>
    <row r="275" spans="1:9" ht="12.75" customHeight="1">
      <c r="A275" s="8" t="s">
        <v>293</v>
      </c>
      <c r="B275" s="22">
        <v>2004</v>
      </c>
      <c r="C275" s="9" t="s">
        <v>651</v>
      </c>
      <c r="D275" s="10" t="s">
        <v>744</v>
      </c>
      <c r="E275" s="81"/>
      <c r="F275" s="40">
        <v>0.007</v>
      </c>
      <c r="G275" s="101" t="s">
        <v>10</v>
      </c>
      <c r="H275" s="123"/>
      <c r="I275" s="15">
        <f>4.83/F275</f>
        <v>690</v>
      </c>
    </row>
    <row r="276" spans="1:9" ht="12.75" customHeight="1">
      <c r="A276" s="8" t="s">
        <v>293</v>
      </c>
      <c r="B276" s="22">
        <v>2004</v>
      </c>
      <c r="C276" s="9" t="s">
        <v>52</v>
      </c>
      <c r="D276" s="10" t="s">
        <v>655</v>
      </c>
      <c r="E276" s="81"/>
      <c r="F276" s="40">
        <v>0.002</v>
      </c>
      <c r="G276" s="101" t="s">
        <v>10</v>
      </c>
      <c r="H276" s="123"/>
      <c r="I276" s="15">
        <f>0.37/F276</f>
        <v>185</v>
      </c>
    </row>
    <row r="277" spans="1:9" ht="12.75" customHeight="1">
      <c r="A277" s="8" t="s">
        <v>293</v>
      </c>
      <c r="B277" s="22">
        <v>2004</v>
      </c>
      <c r="D277" s="10" t="s">
        <v>482</v>
      </c>
      <c r="E277" s="81"/>
      <c r="F277" s="40">
        <v>194.06</v>
      </c>
      <c r="H277" s="123"/>
      <c r="I277" s="15">
        <f>39510.47/F277</f>
        <v>203.59924765536434</v>
      </c>
    </row>
    <row r="278" spans="5:8" ht="12.75" customHeight="1">
      <c r="E278" s="81"/>
      <c r="F278" s="40"/>
      <c r="H278" s="123"/>
    </row>
    <row r="279" spans="1:9" ht="12.75" customHeight="1">
      <c r="A279" s="22" t="s">
        <v>27</v>
      </c>
      <c r="B279" s="22">
        <v>2003</v>
      </c>
      <c r="D279" s="10" t="s">
        <v>482</v>
      </c>
      <c r="F279" s="112">
        <v>1.2</v>
      </c>
      <c r="H279" s="123">
        <f>118.729</f>
        <v>118.729</v>
      </c>
      <c r="I279" s="15">
        <f>$H279/$F279</f>
        <v>98.94083333333333</v>
      </c>
    </row>
    <row r="280" spans="3:9" ht="12.75" customHeight="1">
      <c r="C280" s="64"/>
      <c r="D280" s="230"/>
      <c r="F280" s="21"/>
      <c r="H280" s="126"/>
      <c r="I280" s="21"/>
    </row>
    <row r="281" spans="1:9" ht="12.75" customHeight="1">
      <c r="A281" s="8" t="s">
        <v>27</v>
      </c>
      <c r="B281" s="22">
        <v>2004</v>
      </c>
      <c r="D281" s="10" t="s">
        <v>482</v>
      </c>
      <c r="F281" s="112">
        <v>1.36</v>
      </c>
      <c r="H281" s="123">
        <v>127.704</v>
      </c>
      <c r="I281" s="15">
        <f>$H281/$F281</f>
        <v>93.89999999999999</v>
      </c>
    </row>
    <row r="282" spans="3:9" ht="12.75" customHeight="1">
      <c r="C282" s="64"/>
      <c r="D282" s="230"/>
      <c r="F282" s="21"/>
      <c r="H282" s="123"/>
      <c r="I282" s="21"/>
    </row>
    <row r="283" spans="1:9" ht="12.75" customHeight="1">
      <c r="A283" s="8" t="s">
        <v>598</v>
      </c>
      <c r="B283" s="22">
        <v>2003</v>
      </c>
      <c r="C283" s="9" t="s">
        <v>599</v>
      </c>
      <c r="D283" s="10" t="s">
        <v>346</v>
      </c>
      <c r="F283" s="112">
        <v>0.34224</v>
      </c>
      <c r="G283" s="101" t="s">
        <v>10</v>
      </c>
      <c r="H283" s="123">
        <f>(34.512/40.602)*12.58662</f>
        <v>10.69872</v>
      </c>
      <c r="I283" s="15">
        <f>$H283/$F283</f>
        <v>31.26086956521739</v>
      </c>
    </row>
    <row r="284" spans="1:9" ht="12.75" customHeight="1">
      <c r="A284" s="8" t="s">
        <v>598</v>
      </c>
      <c r="B284" s="22">
        <v>2003</v>
      </c>
      <c r="C284" s="9" t="s">
        <v>295</v>
      </c>
      <c r="D284" s="10" t="s">
        <v>317</v>
      </c>
      <c r="F284" s="112">
        <v>0.13248</v>
      </c>
      <c r="G284" s="101" t="s">
        <v>10</v>
      </c>
      <c r="H284" s="123">
        <f>(34.512/40.602)*4.872</f>
        <v>4.141235998226689</v>
      </c>
      <c r="I284" s="15">
        <f>$H284/$F284</f>
        <v>31.25932969675943</v>
      </c>
    </row>
    <row r="285" spans="1:9" ht="12.75" customHeight="1">
      <c r="A285" s="8" t="s">
        <v>598</v>
      </c>
      <c r="B285" s="22">
        <v>2003</v>
      </c>
      <c r="C285" s="9" t="s">
        <v>723</v>
      </c>
      <c r="D285" s="10" t="s">
        <v>602</v>
      </c>
      <c r="F285" s="112">
        <v>0.12144</v>
      </c>
      <c r="G285" s="101" t="s">
        <v>10</v>
      </c>
      <c r="H285" s="123">
        <f>(34.512/40.602)*4.466</f>
        <v>3.7961329983744645</v>
      </c>
      <c r="I285" s="15">
        <f>$H285/$F285</f>
        <v>31.259329696759423</v>
      </c>
    </row>
    <row r="286" spans="1:9" ht="12.75" customHeight="1">
      <c r="A286" s="8" t="s">
        <v>598</v>
      </c>
      <c r="B286" s="22">
        <v>2003</v>
      </c>
      <c r="C286" s="9" t="s">
        <v>601</v>
      </c>
      <c r="D286" s="10" t="s">
        <v>600</v>
      </c>
      <c r="F286" s="112">
        <v>0.25392</v>
      </c>
      <c r="G286" s="101" t="s">
        <v>10</v>
      </c>
      <c r="H286" s="123">
        <f>(34.512/40.602)*9.338</f>
        <v>7.937368996601152</v>
      </c>
      <c r="I286" s="15">
        <f>$H286/$F286</f>
        <v>31.259329696759423</v>
      </c>
    </row>
    <row r="287" spans="1:9" ht="12.75" customHeight="1">
      <c r="A287" s="8" t="s">
        <v>598</v>
      </c>
      <c r="B287" s="22">
        <v>2003</v>
      </c>
      <c r="C287" s="9" t="s">
        <v>724</v>
      </c>
      <c r="D287" s="10" t="s">
        <v>603</v>
      </c>
      <c r="F287" s="112">
        <f>0.8832/10</f>
        <v>0.08832</v>
      </c>
      <c r="G287" s="101" t="s">
        <v>307</v>
      </c>
      <c r="H287" s="123">
        <f>(34.512/40.602)*3.248</f>
        <v>2.7608239988177927</v>
      </c>
      <c r="I287" s="15">
        <f>$H287/$F287</f>
        <v>31.25932969675943</v>
      </c>
    </row>
    <row r="288" spans="3:8" ht="12.75" customHeight="1">
      <c r="C288" s="8"/>
      <c r="D288" s="8"/>
      <c r="E288" s="78"/>
      <c r="H288" s="123"/>
    </row>
    <row r="289" spans="1:9" ht="12.75" customHeight="1">
      <c r="A289" s="58" t="s">
        <v>294</v>
      </c>
      <c r="B289" s="22">
        <v>2003</v>
      </c>
      <c r="C289" s="64" t="s">
        <v>295</v>
      </c>
      <c r="D289" s="230" t="s">
        <v>363</v>
      </c>
      <c r="F289" s="21">
        <v>0.856</v>
      </c>
      <c r="H289" s="126">
        <f>296.49</f>
        <v>296.49</v>
      </c>
      <c r="I289" s="15">
        <f>$H289/$F289</f>
        <v>346.36682242990656</v>
      </c>
    </row>
    <row r="290" spans="1:9" ht="12.75" customHeight="1">
      <c r="A290" s="58" t="s">
        <v>294</v>
      </c>
      <c r="B290" s="22">
        <v>2003</v>
      </c>
      <c r="C290" s="64" t="s">
        <v>5</v>
      </c>
      <c r="D290" s="230" t="s">
        <v>362</v>
      </c>
      <c r="F290" s="21">
        <v>0.012</v>
      </c>
      <c r="G290" s="101" t="s">
        <v>10</v>
      </c>
      <c r="H290" s="126">
        <v>50.774</v>
      </c>
      <c r="I290" s="15">
        <f>$H290/$F290</f>
        <v>4231.166666666667</v>
      </c>
    </row>
    <row r="291" spans="1:9" ht="12.75" customHeight="1">
      <c r="A291" s="58" t="s">
        <v>294</v>
      </c>
      <c r="B291" s="22">
        <v>2003</v>
      </c>
      <c r="C291" s="58" t="s">
        <v>298</v>
      </c>
      <c r="D291" s="58" t="s">
        <v>42</v>
      </c>
      <c r="F291" s="21">
        <v>0.427</v>
      </c>
      <c r="G291" s="101" t="s">
        <v>10</v>
      </c>
      <c r="H291" s="126">
        <f>144.295</f>
        <v>144.295</v>
      </c>
      <c r="I291" s="15">
        <f>$H291/$F291</f>
        <v>337.92740046838406</v>
      </c>
    </row>
    <row r="292" spans="3:9" ht="12.75" customHeight="1">
      <c r="C292" s="64"/>
      <c r="D292" s="230"/>
      <c r="F292" s="21"/>
      <c r="H292" s="126"/>
      <c r="I292" s="21"/>
    </row>
    <row r="293" spans="1:9" ht="12.75" customHeight="1">
      <c r="A293" s="58" t="s">
        <v>294</v>
      </c>
      <c r="B293" s="22">
        <v>2004</v>
      </c>
      <c r="C293" s="64" t="s">
        <v>295</v>
      </c>
      <c r="D293" s="230" t="s">
        <v>363</v>
      </c>
      <c r="F293" s="21">
        <v>1.403</v>
      </c>
      <c r="H293" s="126">
        <v>523.035</v>
      </c>
      <c r="I293" s="15">
        <f>$H293/$F293</f>
        <v>372.79757662152525</v>
      </c>
    </row>
    <row r="294" spans="1:9" ht="12.75" customHeight="1">
      <c r="A294" s="58" t="s">
        <v>294</v>
      </c>
      <c r="B294" s="22">
        <v>2004</v>
      </c>
      <c r="C294" s="64" t="s">
        <v>5</v>
      </c>
      <c r="D294" s="230" t="s">
        <v>362</v>
      </c>
      <c r="F294" s="21">
        <v>0.106</v>
      </c>
      <c r="G294" s="101" t="s">
        <v>10</v>
      </c>
      <c r="H294" s="126">
        <v>71.618</v>
      </c>
      <c r="I294" s="15">
        <f>$H294/$F294</f>
        <v>675.6415094339623</v>
      </c>
    </row>
    <row r="295" spans="1:9" ht="12.75" customHeight="1">
      <c r="A295" s="58" t="s">
        <v>294</v>
      </c>
      <c r="B295" s="22">
        <v>2004</v>
      </c>
      <c r="C295" s="58" t="s">
        <v>298</v>
      </c>
      <c r="D295" s="58" t="s">
        <v>42</v>
      </c>
      <c r="F295" s="21">
        <v>1</v>
      </c>
      <c r="H295" s="126">
        <v>450.748</v>
      </c>
      <c r="I295" s="15">
        <f>$H295/$F295</f>
        <v>450.748</v>
      </c>
    </row>
    <row r="296" spans="6:9" ht="12.75" customHeight="1">
      <c r="F296" s="21"/>
      <c r="H296" s="126"/>
      <c r="I296" s="21"/>
    </row>
    <row r="297" spans="6:9" ht="12.75" customHeight="1">
      <c r="F297" s="21"/>
      <c r="H297" s="126"/>
      <c r="I297" s="21"/>
    </row>
    <row r="298" spans="6:9" ht="3" customHeight="1">
      <c r="F298" s="21"/>
      <c r="H298" s="126"/>
      <c r="I298" s="21"/>
    </row>
    <row r="299" spans="1:9" ht="12.75" customHeight="1">
      <c r="A299" s="8" t="s">
        <v>67</v>
      </c>
      <c r="B299" s="22">
        <v>2003</v>
      </c>
      <c r="C299" s="31" t="s">
        <v>22</v>
      </c>
      <c r="D299" s="10" t="s">
        <v>364</v>
      </c>
      <c r="F299" s="15">
        <v>0.0395</v>
      </c>
      <c r="G299" s="101" t="s">
        <v>10</v>
      </c>
      <c r="H299" s="123">
        <v>25.84</v>
      </c>
      <c r="I299" s="15">
        <f>$H299/$F299</f>
        <v>654.1772151898734</v>
      </c>
    </row>
    <row r="300" spans="1:9" ht="12.75" customHeight="1">
      <c r="A300" s="8" t="s">
        <v>67</v>
      </c>
      <c r="B300" s="22">
        <v>2003</v>
      </c>
      <c r="C300" s="31"/>
      <c r="D300" s="10" t="s">
        <v>482</v>
      </c>
      <c r="F300" s="15">
        <v>1.5069</v>
      </c>
      <c r="H300" s="123">
        <v>205.328</v>
      </c>
      <c r="I300" s="15">
        <f>$H300/$F300</f>
        <v>136.2585440307917</v>
      </c>
    </row>
    <row r="301" ht="12.75" customHeight="1">
      <c r="H301" s="123"/>
    </row>
    <row r="302" spans="1:9" ht="12.75" customHeight="1">
      <c r="A302" s="8" t="s">
        <v>67</v>
      </c>
      <c r="B302" s="22">
        <v>2004</v>
      </c>
      <c r="C302" s="31" t="s">
        <v>22</v>
      </c>
      <c r="D302" s="10" t="s">
        <v>364</v>
      </c>
      <c r="F302" s="15">
        <v>0.00947</v>
      </c>
      <c r="G302" s="101" t="s">
        <v>10</v>
      </c>
      <c r="H302" s="123">
        <v>19.885</v>
      </c>
      <c r="I302" s="15">
        <f>$H302/$F302</f>
        <v>2099.788806758184</v>
      </c>
    </row>
    <row r="303" spans="1:9" ht="12.75" customHeight="1">
      <c r="A303" s="8" t="s">
        <v>67</v>
      </c>
      <c r="B303" s="22">
        <v>2004</v>
      </c>
      <c r="D303" s="10" t="s">
        <v>482</v>
      </c>
      <c r="F303" s="15">
        <v>1.644</v>
      </c>
      <c r="H303" s="123">
        <v>417.397</v>
      </c>
      <c r="I303" s="15">
        <f>$H303/$F303</f>
        <v>253.8911192214112</v>
      </c>
    </row>
    <row r="304" ht="15.75"/>
    <row r="305" ht="15.75"/>
    <row r="306" ht="15.75"/>
    <row r="317" ht="15.75"/>
    <row r="318" ht="15.75"/>
    <row r="319" ht="15.75"/>
    <row r="320" ht="15.75"/>
    <row r="321" ht="15.75"/>
  </sheetData>
  <mergeCells count="77">
    <mergeCell ref="I57:I59"/>
    <mergeCell ref="F51:F53"/>
    <mergeCell ref="I51:I53"/>
    <mergeCell ref="H51:H53"/>
    <mergeCell ref="H57:H59"/>
    <mergeCell ref="F57:F59"/>
    <mergeCell ref="G57:G59"/>
    <mergeCell ref="F153:F155"/>
    <mergeCell ref="I153:I155"/>
    <mergeCell ref="H153:H155"/>
    <mergeCell ref="H157:H161"/>
    <mergeCell ref="F157:F161"/>
    <mergeCell ref="I157:I161"/>
    <mergeCell ref="F193:F194"/>
    <mergeCell ref="I193:I194"/>
    <mergeCell ref="F183:F185"/>
    <mergeCell ref="H196:H200"/>
    <mergeCell ref="F196:F200"/>
    <mergeCell ref="I196:I200"/>
    <mergeCell ref="H183:H185"/>
    <mergeCell ref="H187:H191"/>
    <mergeCell ref="H193:H194"/>
    <mergeCell ref="F163:F164"/>
    <mergeCell ref="I163:I164"/>
    <mergeCell ref="I183:I185"/>
    <mergeCell ref="F187:F191"/>
    <mergeCell ref="I187:I191"/>
    <mergeCell ref="F166:F170"/>
    <mergeCell ref="H166:H170"/>
    <mergeCell ref="I166:I170"/>
    <mergeCell ref="F172:F178"/>
    <mergeCell ref="H172:H178"/>
    <mergeCell ref="F241:F245"/>
    <mergeCell ref="I241:I245"/>
    <mergeCell ref="H241:H245"/>
    <mergeCell ref="G241:G245"/>
    <mergeCell ref="F83:F85"/>
    <mergeCell ref="H83:H85"/>
    <mergeCell ref="H96:H98"/>
    <mergeCell ref="F65:F67"/>
    <mergeCell ref="H65:H67"/>
    <mergeCell ref="I65:I67"/>
    <mergeCell ref="F71:F73"/>
    <mergeCell ref="G71:G73"/>
    <mergeCell ref="H71:H73"/>
    <mergeCell ref="I71:I73"/>
    <mergeCell ref="F140:F142"/>
    <mergeCell ref="F127:F129"/>
    <mergeCell ref="H127:H129"/>
    <mergeCell ref="I172:I178"/>
    <mergeCell ref="F147:F149"/>
    <mergeCell ref="H147:H149"/>
    <mergeCell ref="I134:I136"/>
    <mergeCell ref="H163:H164"/>
    <mergeCell ref="F134:F136"/>
    <mergeCell ref="H134:H136"/>
    <mergeCell ref="F108:F110"/>
    <mergeCell ref="I108:I110"/>
    <mergeCell ref="F112:F114"/>
    <mergeCell ref="H112:H114"/>
    <mergeCell ref="H102:H104"/>
    <mergeCell ref="I96:I98"/>
    <mergeCell ref="I147:I149"/>
    <mergeCell ref="H108:H110"/>
    <mergeCell ref="I127:I129"/>
    <mergeCell ref="H140:H142"/>
    <mergeCell ref="I140:I142"/>
    <mergeCell ref="I83:I85"/>
    <mergeCell ref="F102:F104"/>
    <mergeCell ref="G102:G104"/>
    <mergeCell ref="I112:I114"/>
    <mergeCell ref="F87:F89"/>
    <mergeCell ref="G87:G89"/>
    <mergeCell ref="H87:H89"/>
    <mergeCell ref="I87:I89"/>
    <mergeCell ref="I102:I104"/>
    <mergeCell ref="F96:F98"/>
  </mergeCells>
  <printOptions horizontalCentered="1"/>
  <pageMargins left="0.5905511811023623" right="0.5905511811023623" top="0.7874015748031497" bottom="0.5905511811023623" header="0.2362204724409449" footer="0.2362204724409449"/>
  <pageSetup fitToHeight="25" horizontalDpi="600" verticalDpi="600" orientation="portrait" paperSize="9" scale="94" r:id="rId3"/>
  <rowBreaks count="5" manualBreakCount="5">
    <brk id="46" max="8" man="1"/>
    <brk id="115" max="8" man="1"/>
    <brk id="181" max="8" man="1"/>
    <brk id="239" max="8" man="1"/>
    <brk id="297" max="8" man="1"/>
  </rowBreaks>
  <ignoredErrors>
    <ignoredError sqref="C77 C79" numberStoredAsText="1"/>
    <ignoredError sqref="I15 I2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1"/>
  <sheetViews>
    <sheetView view="pageBreakPreview" zoomScale="115" zoomScaleNormal="90" zoomScaleSheetLayoutView="115" workbookViewId="0" topLeftCell="A1">
      <selection activeCell="A1" sqref="A1"/>
    </sheetView>
  </sheetViews>
  <sheetFormatPr defaultColWidth="9.140625" defaultRowHeight="12.75"/>
  <cols>
    <col min="1" max="1" width="17.28125" style="8" customWidth="1"/>
    <col min="2" max="2" width="5.8515625" style="22" customWidth="1"/>
    <col min="3" max="3" width="29.421875" style="9" customWidth="1"/>
    <col min="4" max="4" width="23.7109375" style="10" customWidth="1"/>
    <col min="5" max="5" width="1.7109375" style="10" customWidth="1"/>
    <col min="6" max="6" width="8.7109375" style="42" customWidth="1"/>
    <col min="7" max="7" width="3.140625" style="79" customWidth="1"/>
    <col min="8" max="8" width="8.7109375" style="145" hidden="1" customWidth="1"/>
    <col min="9" max="9" width="8.7109375" style="15" customWidth="1"/>
    <col min="10" max="10" width="14.8515625" style="8" customWidth="1"/>
    <col min="11" max="11" width="3.57421875" style="8" customWidth="1"/>
    <col min="12" max="12" width="8.421875" style="60" customWidth="1"/>
    <col min="13" max="16384" width="9.140625" style="8" customWidth="1"/>
  </cols>
  <sheetData>
    <row r="1" spans="1:12" s="58" customFormat="1" ht="19.5" customHeight="1">
      <c r="A1" s="108" t="s">
        <v>34</v>
      </c>
      <c r="B1" s="108"/>
      <c r="C1" s="108"/>
      <c r="D1" s="108"/>
      <c r="E1" s="108"/>
      <c r="F1" s="108"/>
      <c r="G1" s="115"/>
      <c r="H1" s="142"/>
      <c r="I1" s="108"/>
      <c r="J1" s="23"/>
      <c r="L1" s="107"/>
    </row>
    <row r="2" spans="1:12" ht="15.75">
      <c r="A2" s="8" t="s">
        <v>0</v>
      </c>
      <c r="B2" s="22" t="s">
        <v>31</v>
      </c>
      <c r="C2" s="8" t="s">
        <v>29</v>
      </c>
      <c r="D2" s="8" t="s">
        <v>32</v>
      </c>
      <c r="E2" s="8"/>
      <c r="F2" s="18" t="s">
        <v>1</v>
      </c>
      <c r="H2" s="130"/>
      <c r="I2" s="18" t="s">
        <v>2</v>
      </c>
      <c r="L2" s="79"/>
    </row>
    <row r="3" spans="1:12" ht="15.75">
      <c r="A3" s="7"/>
      <c r="B3" s="30"/>
      <c r="C3" s="7" t="s">
        <v>28</v>
      </c>
      <c r="D3" s="7"/>
      <c r="E3" s="7"/>
      <c r="F3" s="13" t="s">
        <v>91</v>
      </c>
      <c r="G3" s="114"/>
      <c r="H3" s="131"/>
      <c r="I3" s="13" t="s">
        <v>92</v>
      </c>
      <c r="L3" s="79"/>
    </row>
    <row r="4" spans="3:12" ht="3" customHeight="1">
      <c r="C4" s="8"/>
      <c r="D4" s="8"/>
      <c r="E4" s="8"/>
      <c r="F4" s="18"/>
      <c r="H4" s="130"/>
      <c r="I4" s="18"/>
      <c r="L4" s="79"/>
    </row>
    <row r="5" spans="1:12" ht="12.75" customHeight="1">
      <c r="A5" s="8" t="s">
        <v>562</v>
      </c>
      <c r="B5" s="22">
        <v>2003</v>
      </c>
      <c r="C5" s="22" t="s">
        <v>569</v>
      </c>
      <c r="D5" s="8" t="s">
        <v>42</v>
      </c>
      <c r="E5" s="8"/>
      <c r="F5" s="240">
        <v>11</v>
      </c>
      <c r="H5" s="132">
        <v>5874.9882235386485</v>
      </c>
      <c r="I5" s="21">
        <f aca="true" t="shared" si="0" ref="I5:I13">$H5/$F5</f>
        <v>534.0898385035135</v>
      </c>
      <c r="J5" s="45"/>
      <c r="K5" s="45"/>
      <c r="L5" s="79"/>
    </row>
    <row r="6" spans="1:12" ht="12.75" customHeight="1">
      <c r="A6" s="8" t="s">
        <v>562</v>
      </c>
      <c r="B6" s="22">
        <v>2003</v>
      </c>
      <c r="C6" s="22" t="s">
        <v>570</v>
      </c>
      <c r="D6" s="8"/>
      <c r="E6" s="8"/>
      <c r="F6" s="240">
        <v>8</v>
      </c>
      <c r="H6" s="132">
        <v>2744.569980729427</v>
      </c>
      <c r="I6" s="21">
        <f t="shared" si="0"/>
        <v>343.07124759117835</v>
      </c>
      <c r="J6" s="45"/>
      <c r="K6" s="45"/>
      <c r="L6" s="79"/>
    </row>
    <row r="7" spans="1:12" ht="12.75" customHeight="1">
      <c r="A7" s="8" t="s">
        <v>562</v>
      </c>
      <c r="B7" s="22">
        <v>2003</v>
      </c>
      <c r="C7" s="22" t="s">
        <v>565</v>
      </c>
      <c r="D7" s="8"/>
      <c r="E7" s="8"/>
      <c r="F7" s="240">
        <v>7</v>
      </c>
      <c r="H7" s="132">
        <v>3821.9641710084934</v>
      </c>
      <c r="I7" s="21">
        <f t="shared" si="0"/>
        <v>545.9948815726419</v>
      </c>
      <c r="J7" s="45"/>
      <c r="K7" s="45"/>
      <c r="L7" s="79"/>
    </row>
    <row r="8" spans="1:12" ht="12.75" customHeight="1">
      <c r="A8" s="8" t="s">
        <v>562</v>
      </c>
      <c r="B8" s="22">
        <v>2003</v>
      </c>
      <c r="C8" s="22" t="s">
        <v>564</v>
      </c>
      <c r="D8" s="8"/>
      <c r="E8" s="8"/>
      <c r="F8" s="240">
        <v>5</v>
      </c>
      <c r="H8" s="132">
        <v>1634.3244593533652</v>
      </c>
      <c r="I8" s="21">
        <f t="shared" si="0"/>
        <v>326.86489187067303</v>
      </c>
      <c r="J8" s="45"/>
      <c r="K8" s="45"/>
      <c r="L8" s="79"/>
    </row>
    <row r="9" spans="1:12" ht="12.75" customHeight="1">
      <c r="A9" s="8" t="s">
        <v>562</v>
      </c>
      <c r="B9" s="22">
        <v>2003</v>
      </c>
      <c r="C9" s="22" t="s">
        <v>566</v>
      </c>
      <c r="D9" s="8"/>
      <c r="E9" s="8"/>
      <c r="F9" s="240">
        <v>1</v>
      </c>
      <c r="H9" s="132">
        <v>458.1985582756406</v>
      </c>
      <c r="I9" s="21">
        <f t="shared" si="0"/>
        <v>458.1985582756406</v>
      </c>
      <c r="J9" s="45"/>
      <c r="K9" s="45"/>
      <c r="L9" s="79"/>
    </row>
    <row r="10" spans="1:12" ht="12.75" customHeight="1">
      <c r="A10" s="8" t="s">
        <v>562</v>
      </c>
      <c r="B10" s="22">
        <v>2003</v>
      </c>
      <c r="C10" s="22" t="s">
        <v>568</v>
      </c>
      <c r="D10" s="8"/>
      <c r="E10" s="8"/>
      <c r="F10" s="240">
        <v>1</v>
      </c>
      <c r="H10" s="132">
        <v>1096.8060809364072</v>
      </c>
      <c r="I10" s="21">
        <f t="shared" si="0"/>
        <v>1096.8060809364072</v>
      </c>
      <c r="J10" s="45"/>
      <c r="K10" s="45"/>
      <c r="L10" s="79"/>
    </row>
    <row r="11" spans="1:12" ht="12.75" customHeight="1">
      <c r="A11" s="8" t="s">
        <v>562</v>
      </c>
      <c r="B11" s="22">
        <v>2003</v>
      </c>
      <c r="C11" s="22" t="s">
        <v>567</v>
      </c>
      <c r="D11" s="8"/>
      <c r="E11" s="8"/>
      <c r="F11" s="240">
        <v>0.389</v>
      </c>
      <c r="G11" s="79" t="s">
        <v>10</v>
      </c>
      <c r="H11" s="132">
        <v>361.8920847905217</v>
      </c>
      <c r="I11" s="21">
        <f t="shared" si="0"/>
        <v>930.3138426491561</v>
      </c>
      <c r="J11" s="45"/>
      <c r="K11" s="45"/>
      <c r="L11" s="79"/>
    </row>
    <row r="12" spans="1:12" ht="12.75" customHeight="1">
      <c r="A12" s="8" t="s">
        <v>562</v>
      </c>
      <c r="B12" s="22">
        <v>2003</v>
      </c>
      <c r="C12" s="22" t="s">
        <v>80</v>
      </c>
      <c r="D12" s="8"/>
      <c r="E12" s="8"/>
      <c r="F12" s="240">
        <v>0.092</v>
      </c>
      <c r="G12" s="79" t="s">
        <v>10</v>
      </c>
      <c r="H12" s="132">
        <v>55.82185425736921</v>
      </c>
      <c r="I12" s="21">
        <f t="shared" si="0"/>
        <v>606.7592854061871</v>
      </c>
      <c r="J12" s="45"/>
      <c r="K12" s="45"/>
      <c r="L12" s="79"/>
    </row>
    <row r="13" spans="1:12" ht="12.75" customHeight="1">
      <c r="A13" s="8" t="s">
        <v>562</v>
      </c>
      <c r="B13" s="22">
        <v>2003</v>
      </c>
      <c r="C13" s="22" t="s">
        <v>81</v>
      </c>
      <c r="D13" s="8"/>
      <c r="E13" s="8"/>
      <c r="F13" s="240">
        <v>0.001</v>
      </c>
      <c r="G13" s="79" t="s">
        <v>10</v>
      </c>
      <c r="H13" s="132">
        <v>0.00927842409535365</v>
      </c>
      <c r="I13" s="21">
        <f t="shared" si="0"/>
        <v>9.27842409535365</v>
      </c>
      <c r="J13" s="45"/>
      <c r="K13" s="45"/>
      <c r="L13" s="79"/>
    </row>
    <row r="14" spans="3:12" ht="12.75" customHeight="1">
      <c r="C14" s="8"/>
      <c r="D14" s="8"/>
      <c r="E14" s="8"/>
      <c r="F14" s="240"/>
      <c r="H14" s="132"/>
      <c r="I14" s="73"/>
      <c r="J14" s="45"/>
      <c r="K14" s="45"/>
      <c r="L14" s="79"/>
    </row>
    <row r="15" spans="1:12" ht="12.75" customHeight="1">
      <c r="A15" s="8" t="s">
        <v>562</v>
      </c>
      <c r="B15" s="22">
        <v>2004</v>
      </c>
      <c r="C15" s="22" t="s">
        <v>570</v>
      </c>
      <c r="D15" s="8" t="s">
        <v>42</v>
      </c>
      <c r="E15" s="8"/>
      <c r="F15" s="240">
        <v>21</v>
      </c>
      <c r="H15" s="132">
        <v>3716.6917755572636</v>
      </c>
      <c r="I15" s="21">
        <f aca="true" t="shared" si="1" ref="I15:I22">$H15/$F15</f>
        <v>176.98532264558398</v>
      </c>
      <c r="J15" s="45"/>
      <c r="K15" s="45"/>
      <c r="L15" s="79"/>
    </row>
    <row r="16" spans="1:12" ht="12.75" customHeight="1">
      <c r="A16" s="8" t="s">
        <v>562</v>
      </c>
      <c r="B16" s="22">
        <v>2004</v>
      </c>
      <c r="C16" s="22" t="s">
        <v>569</v>
      </c>
      <c r="D16" s="8"/>
      <c r="E16" s="8"/>
      <c r="F16" s="240">
        <v>16</v>
      </c>
      <c r="G16" s="241"/>
      <c r="H16" s="132">
        <v>8478.222136817833</v>
      </c>
      <c r="I16" s="21">
        <f t="shared" si="1"/>
        <v>529.8888835511145</v>
      </c>
      <c r="J16" s="45"/>
      <c r="K16" s="45"/>
      <c r="L16" s="79"/>
    </row>
    <row r="17" spans="1:12" ht="12.75" customHeight="1">
      <c r="A17" s="8" t="s">
        <v>562</v>
      </c>
      <c r="B17" s="22">
        <v>2004</v>
      </c>
      <c r="C17" s="22" t="s">
        <v>564</v>
      </c>
      <c r="D17" s="8"/>
      <c r="E17" s="8"/>
      <c r="F17" s="240">
        <v>6</v>
      </c>
      <c r="H17" s="132">
        <v>2154.790930053805</v>
      </c>
      <c r="I17" s="21">
        <f t="shared" si="1"/>
        <v>359.13182167563417</v>
      </c>
      <c r="J17" s="45"/>
      <c r="K17" s="45"/>
      <c r="L17" s="79"/>
    </row>
    <row r="18" spans="1:12" ht="12.75" customHeight="1">
      <c r="A18" s="8" t="s">
        <v>562</v>
      </c>
      <c r="B18" s="22">
        <v>2004</v>
      </c>
      <c r="C18" s="22" t="s">
        <v>565</v>
      </c>
      <c r="D18" s="8"/>
      <c r="E18" s="8"/>
      <c r="F18" s="240">
        <v>6</v>
      </c>
      <c r="H18" s="132">
        <v>3408.237509607994</v>
      </c>
      <c r="I18" s="21">
        <f t="shared" si="1"/>
        <v>568.0395849346656</v>
      </c>
      <c r="J18" s="45"/>
      <c r="K18" s="45"/>
      <c r="L18" s="79"/>
    </row>
    <row r="19" spans="1:12" ht="12.75" customHeight="1">
      <c r="A19" s="8" t="s">
        <v>562</v>
      </c>
      <c r="B19" s="22">
        <v>2004</v>
      </c>
      <c r="C19" s="22" t="s">
        <v>566</v>
      </c>
      <c r="D19" s="8"/>
      <c r="E19" s="8"/>
      <c r="F19" s="240">
        <v>1</v>
      </c>
      <c r="H19" s="132">
        <v>91.3205226748655</v>
      </c>
      <c r="I19" s="21">
        <f t="shared" si="1"/>
        <v>91.3205226748655</v>
      </c>
      <c r="J19" s="45"/>
      <c r="K19" s="45"/>
      <c r="L19" s="79"/>
    </row>
    <row r="20" spans="1:12" ht="12.75" customHeight="1">
      <c r="A20" s="8" t="s">
        <v>562</v>
      </c>
      <c r="B20" s="22">
        <v>2004</v>
      </c>
      <c r="C20" s="22" t="s">
        <v>568</v>
      </c>
      <c r="D20" s="8"/>
      <c r="E20" s="8"/>
      <c r="F20" s="240">
        <v>1</v>
      </c>
      <c r="H20" s="132">
        <v>990.9085318985396</v>
      </c>
      <c r="I20" s="21">
        <f t="shared" si="1"/>
        <v>990.9085318985396</v>
      </c>
      <c r="J20" s="45"/>
      <c r="K20" s="45"/>
      <c r="L20" s="79"/>
    </row>
    <row r="21" spans="1:12" ht="12.75" customHeight="1">
      <c r="A21" s="8" t="s">
        <v>562</v>
      </c>
      <c r="B21" s="22">
        <v>2004</v>
      </c>
      <c r="C21" s="22" t="s">
        <v>80</v>
      </c>
      <c r="D21" s="8"/>
      <c r="E21" s="8"/>
      <c r="F21" s="240">
        <v>0.432</v>
      </c>
      <c r="G21" s="79" t="s">
        <v>10</v>
      </c>
      <c r="H21" s="132">
        <v>284.5595695618755</v>
      </c>
      <c r="I21" s="21">
        <f t="shared" si="1"/>
        <v>658.7027073191563</v>
      </c>
      <c r="J21" s="45"/>
      <c r="K21" s="45"/>
      <c r="L21" s="79"/>
    </row>
    <row r="22" spans="1:12" ht="12.75" customHeight="1">
      <c r="A22" s="8" t="s">
        <v>562</v>
      </c>
      <c r="B22" s="22">
        <v>2003</v>
      </c>
      <c r="C22" s="22" t="s">
        <v>567</v>
      </c>
      <c r="D22" s="8"/>
      <c r="E22" s="8"/>
      <c r="F22" s="240">
        <v>0.374</v>
      </c>
      <c r="G22" s="79" t="s">
        <v>10</v>
      </c>
      <c r="H22" s="132">
        <v>419.99461952344353</v>
      </c>
      <c r="I22" s="21">
        <f t="shared" si="1"/>
        <v>1122.980266105464</v>
      </c>
      <c r="J22" s="45"/>
      <c r="K22" s="45"/>
      <c r="L22" s="79"/>
    </row>
    <row r="23" spans="6:12" ht="12.75" customHeight="1">
      <c r="F23" s="150"/>
      <c r="H23" s="133"/>
      <c r="I23" s="21"/>
      <c r="J23" s="45"/>
      <c r="K23" s="45"/>
      <c r="L23" s="79"/>
    </row>
    <row r="24" spans="1:12" ht="12.75" customHeight="1">
      <c r="A24" s="8" t="s">
        <v>680</v>
      </c>
      <c r="B24" s="22">
        <v>2003</v>
      </c>
      <c r="C24" s="9" t="s">
        <v>474</v>
      </c>
      <c r="D24" s="10" t="s">
        <v>322</v>
      </c>
      <c r="F24" s="150">
        <f>127.979/1000</f>
        <v>0.127979</v>
      </c>
      <c r="G24" s="79" t="s">
        <v>10</v>
      </c>
      <c r="H24" s="133">
        <v>107502</v>
      </c>
      <c r="I24" s="21">
        <f>$H24/$F24/1000</f>
        <v>839.9971870384985</v>
      </c>
      <c r="J24" s="45"/>
      <c r="K24" s="45"/>
      <c r="L24" s="79"/>
    </row>
    <row r="25" spans="1:12" ht="12.75" customHeight="1">
      <c r="A25" s="8" t="s">
        <v>680</v>
      </c>
      <c r="B25" s="22">
        <v>2003</v>
      </c>
      <c r="C25" s="9" t="s">
        <v>468</v>
      </c>
      <c r="D25" s="10" t="s">
        <v>317</v>
      </c>
      <c r="F25" s="150">
        <f>1.027/1000</f>
        <v>0.001027</v>
      </c>
      <c r="G25" s="79" t="s">
        <v>10</v>
      </c>
      <c r="H25" s="133">
        <v>216</v>
      </c>
      <c r="I25" s="21">
        <f>$H25/$F25/1000</f>
        <v>210.32132424537488</v>
      </c>
      <c r="J25" s="45"/>
      <c r="K25" s="45"/>
      <c r="L25" s="79"/>
    </row>
    <row r="26" spans="1:12" ht="12.75" customHeight="1">
      <c r="A26" s="8" t="s">
        <v>680</v>
      </c>
      <c r="B26" s="22">
        <v>2003</v>
      </c>
      <c r="C26" s="9" t="s">
        <v>466</v>
      </c>
      <c r="D26" s="10" t="s">
        <v>348</v>
      </c>
      <c r="F26" s="150">
        <f>0.017/1000</f>
        <v>1.7E-05</v>
      </c>
      <c r="G26" s="79" t="s">
        <v>10</v>
      </c>
      <c r="H26" s="133">
        <v>11</v>
      </c>
      <c r="I26" s="21">
        <f>$H26/$F26/1000</f>
        <v>647.0588235294118</v>
      </c>
      <c r="J26" s="45"/>
      <c r="K26" s="45"/>
      <c r="L26" s="79"/>
    </row>
    <row r="27" spans="1:12" ht="12.75" customHeight="1">
      <c r="A27" s="8" t="s">
        <v>680</v>
      </c>
      <c r="B27" s="22">
        <v>2003</v>
      </c>
      <c r="C27" s="9" t="s">
        <v>65</v>
      </c>
      <c r="D27" s="10" t="s">
        <v>329</v>
      </c>
      <c r="F27" s="150">
        <f>38.371/1000</f>
        <v>0.038371</v>
      </c>
      <c r="G27" s="79" t="s">
        <v>10</v>
      </c>
      <c r="H27" s="133">
        <v>8058</v>
      </c>
      <c r="I27" s="21">
        <f>$H27/$F27/1000</f>
        <v>210.00234552135726</v>
      </c>
      <c r="J27" s="45"/>
      <c r="K27" s="45"/>
      <c r="L27" s="79"/>
    </row>
    <row r="28" spans="1:12" ht="12.75" customHeight="1">
      <c r="A28" s="8" t="s">
        <v>680</v>
      </c>
      <c r="B28" s="22">
        <v>2003</v>
      </c>
      <c r="C28" s="9" t="s">
        <v>193</v>
      </c>
      <c r="D28" s="10" t="s">
        <v>338</v>
      </c>
      <c r="F28" s="150">
        <v>0.269</v>
      </c>
      <c r="G28" s="79" t="s">
        <v>10</v>
      </c>
      <c r="H28" s="133">
        <v>170</v>
      </c>
      <c r="I28" s="69" t="s">
        <v>71</v>
      </c>
      <c r="J28" s="45"/>
      <c r="K28" s="45"/>
      <c r="L28" s="79"/>
    </row>
    <row r="29" spans="1:12" ht="12.75" customHeight="1">
      <c r="A29" s="8" t="s">
        <v>680</v>
      </c>
      <c r="B29" s="22">
        <v>2003</v>
      </c>
      <c r="C29" s="9" t="s">
        <v>177</v>
      </c>
      <c r="D29" s="10" t="s">
        <v>333</v>
      </c>
      <c r="F29" s="150">
        <f>0.084/1000</f>
        <v>8.400000000000001E-05</v>
      </c>
      <c r="G29" s="79" t="s">
        <v>10</v>
      </c>
      <c r="H29" s="133">
        <v>53</v>
      </c>
      <c r="I29" s="21">
        <f>$H29/$F29/1000</f>
        <v>630.9523809523808</v>
      </c>
      <c r="J29" s="45"/>
      <c r="K29" s="45"/>
      <c r="L29" s="79"/>
    </row>
    <row r="30" spans="1:12" ht="12.75" customHeight="1">
      <c r="A30" s="8" t="s">
        <v>680</v>
      </c>
      <c r="B30" s="22">
        <v>2003</v>
      </c>
      <c r="C30" s="9" t="s">
        <v>7</v>
      </c>
      <c r="D30" s="10" t="s">
        <v>321</v>
      </c>
      <c r="F30" s="150">
        <f>397.153/1000</f>
        <v>0.39715300000000003</v>
      </c>
      <c r="G30" s="79" t="s">
        <v>10</v>
      </c>
      <c r="H30" s="133">
        <v>29706</v>
      </c>
      <c r="I30" s="21">
        <v>275</v>
      </c>
      <c r="J30" s="45"/>
      <c r="K30" s="45"/>
      <c r="L30" s="79"/>
    </row>
    <row r="31" spans="3:12" ht="12.75" customHeight="1">
      <c r="C31" s="8"/>
      <c r="D31" s="8"/>
      <c r="E31" s="8"/>
      <c r="F31" s="112"/>
      <c r="H31" s="133"/>
      <c r="I31" s="74"/>
      <c r="J31" s="45"/>
      <c r="K31" s="45"/>
      <c r="L31" s="79"/>
    </row>
    <row r="32" spans="1:12" ht="12.75" customHeight="1">
      <c r="A32" s="49" t="s">
        <v>30</v>
      </c>
      <c r="B32" s="36"/>
      <c r="C32" s="10"/>
      <c r="H32" s="126"/>
      <c r="I32" s="21"/>
      <c r="J32" s="45"/>
      <c r="K32" s="45"/>
      <c r="L32" s="79"/>
    </row>
    <row r="33" spans="1:12" ht="15" customHeight="1">
      <c r="A33" s="48" t="s">
        <v>88</v>
      </c>
      <c r="B33" s="22">
        <v>2003</v>
      </c>
      <c r="C33" s="9" t="s">
        <v>528</v>
      </c>
      <c r="D33" s="10" t="s">
        <v>329</v>
      </c>
      <c r="F33" s="148">
        <f>153.878/10</f>
        <v>15.387799999999999</v>
      </c>
      <c r="G33" s="261"/>
      <c r="H33" s="124">
        <f>22.912*1000/6.588</f>
        <v>3477.8384942319367</v>
      </c>
      <c r="I33" s="21">
        <f>$H33/$F33</f>
        <v>226.01271749255494</v>
      </c>
      <c r="L33" s="79"/>
    </row>
    <row r="34" spans="1:12" s="165" customFormat="1" ht="3" customHeight="1">
      <c r="A34" s="217"/>
      <c r="B34" s="166"/>
      <c r="C34" s="167"/>
      <c r="F34" s="198"/>
      <c r="G34" s="215"/>
      <c r="H34" s="207"/>
      <c r="I34" s="184"/>
      <c r="L34" s="173"/>
    </row>
    <row r="35" spans="1:12" ht="12.75" customHeight="1">
      <c r="A35" s="48" t="s">
        <v>88</v>
      </c>
      <c r="B35" s="22">
        <v>2003</v>
      </c>
      <c r="C35" s="55" t="s">
        <v>725</v>
      </c>
      <c r="D35" s="10" t="s">
        <v>314</v>
      </c>
      <c r="E35" s="242"/>
      <c r="F35" s="352">
        <v>19.074564285714285</v>
      </c>
      <c r="H35" s="348">
        <f>50.88*1000/6.588</f>
        <v>7723.132969034608</v>
      </c>
      <c r="I35" s="344">
        <f>$H35/$F35</f>
        <v>404.89171093773166</v>
      </c>
      <c r="L35" s="79"/>
    </row>
    <row r="36" spans="1:12" ht="12.75" customHeight="1">
      <c r="A36" s="48" t="s">
        <v>88</v>
      </c>
      <c r="B36" s="22">
        <v>2003</v>
      </c>
      <c r="C36" s="55" t="s">
        <v>25</v>
      </c>
      <c r="D36" s="10" t="s">
        <v>335</v>
      </c>
      <c r="E36" s="243"/>
      <c r="F36" s="352"/>
      <c r="H36" s="348"/>
      <c r="I36" s="344" t="e">
        <f>$H36/$F36</f>
        <v>#DIV/0!</v>
      </c>
      <c r="L36" s="79"/>
    </row>
    <row r="37" spans="1:12" ht="12.75" customHeight="1">
      <c r="A37" s="48" t="s">
        <v>88</v>
      </c>
      <c r="B37" s="22">
        <v>2003</v>
      </c>
      <c r="C37" s="55" t="s">
        <v>47</v>
      </c>
      <c r="D37" s="10" t="s">
        <v>352</v>
      </c>
      <c r="E37" s="243"/>
      <c r="F37" s="352"/>
      <c r="H37" s="348"/>
      <c r="I37" s="344" t="e">
        <f>$H37/$F37</f>
        <v>#DIV/0!</v>
      </c>
      <c r="L37" s="79"/>
    </row>
    <row r="38" spans="1:12" ht="12.75" customHeight="1">
      <c r="A38" s="48" t="s">
        <v>88</v>
      </c>
      <c r="B38" s="22">
        <v>2003</v>
      </c>
      <c r="C38" s="55" t="s">
        <v>478</v>
      </c>
      <c r="D38" s="10" t="s">
        <v>327</v>
      </c>
      <c r="E38" s="244"/>
      <c r="F38" s="352"/>
      <c r="H38" s="348"/>
      <c r="I38" s="344" t="e">
        <f>$H38/$F38</f>
        <v>#DIV/0!</v>
      </c>
      <c r="L38" s="79"/>
    </row>
    <row r="39" spans="1:12" s="165" customFormat="1" ht="3" customHeight="1">
      <c r="A39" s="217"/>
      <c r="B39" s="166"/>
      <c r="F39" s="172"/>
      <c r="G39" s="173"/>
      <c r="H39" s="183"/>
      <c r="I39" s="184"/>
      <c r="L39" s="173"/>
    </row>
    <row r="40" spans="1:12" ht="12.75" customHeight="1">
      <c r="A40" s="48" t="s">
        <v>88</v>
      </c>
      <c r="B40" s="22">
        <v>2003</v>
      </c>
      <c r="C40" s="55" t="s">
        <v>64</v>
      </c>
      <c r="D40" s="10" t="s">
        <v>315</v>
      </c>
      <c r="E40" s="242"/>
      <c r="F40" s="352">
        <v>2.008</v>
      </c>
      <c r="H40" s="348">
        <f>9.388*1000/6.588</f>
        <v>1425.0151791135397</v>
      </c>
      <c r="I40" s="344">
        <f aca="true" t="shared" si="2" ref="I40:I48">$H40/$F40</f>
        <v>709.6689139011652</v>
      </c>
      <c r="L40" s="79"/>
    </row>
    <row r="41" spans="1:12" ht="12.75" customHeight="1">
      <c r="A41" s="48" t="s">
        <v>88</v>
      </c>
      <c r="B41" s="22">
        <v>2003</v>
      </c>
      <c r="C41" s="55" t="s">
        <v>467</v>
      </c>
      <c r="D41" s="10" t="s">
        <v>354</v>
      </c>
      <c r="E41" s="243"/>
      <c r="F41" s="352"/>
      <c r="H41" s="348"/>
      <c r="I41" s="344" t="e">
        <f t="shared" si="2"/>
        <v>#DIV/0!</v>
      </c>
      <c r="L41" s="79"/>
    </row>
    <row r="42" spans="1:12" ht="12.75" customHeight="1">
      <c r="A42" s="48" t="s">
        <v>88</v>
      </c>
      <c r="B42" s="22">
        <v>2003</v>
      </c>
      <c r="C42" s="55" t="s">
        <v>14</v>
      </c>
      <c r="D42" s="10" t="s">
        <v>345</v>
      </c>
      <c r="E42" s="244"/>
      <c r="F42" s="352"/>
      <c r="H42" s="348"/>
      <c r="I42" s="344" t="e">
        <f t="shared" si="2"/>
        <v>#DIV/0!</v>
      </c>
      <c r="L42" s="79"/>
    </row>
    <row r="43" spans="1:12" s="165" customFormat="1" ht="3" customHeight="1">
      <c r="A43" s="217"/>
      <c r="B43" s="166"/>
      <c r="F43" s="172"/>
      <c r="G43" s="173"/>
      <c r="H43" s="183"/>
      <c r="I43" s="184" t="e">
        <f t="shared" si="2"/>
        <v>#DIV/0!</v>
      </c>
      <c r="L43" s="173"/>
    </row>
    <row r="44" spans="1:12" ht="12.75" customHeight="1">
      <c r="A44" s="48" t="s">
        <v>88</v>
      </c>
      <c r="B44" s="22">
        <v>2003</v>
      </c>
      <c r="C44" s="55" t="s">
        <v>720</v>
      </c>
      <c r="D44" s="10" t="s">
        <v>373</v>
      </c>
      <c r="E44" s="242"/>
      <c r="F44" s="352">
        <v>0.188</v>
      </c>
      <c r="G44" s="357" t="s">
        <v>10</v>
      </c>
      <c r="H44" s="348">
        <f>1.374*1000/6.588</f>
        <v>208.56102003642988</v>
      </c>
      <c r="I44" s="344">
        <f t="shared" si="2"/>
        <v>1109.3671278533504</v>
      </c>
      <c r="L44" s="79"/>
    </row>
    <row r="45" spans="1:12" ht="12.75" customHeight="1">
      <c r="A45" s="48" t="s">
        <v>88</v>
      </c>
      <c r="B45" s="22">
        <v>2003</v>
      </c>
      <c r="C45" s="55" t="s">
        <v>479</v>
      </c>
      <c r="D45" s="10" t="s">
        <v>374</v>
      </c>
      <c r="E45" s="243"/>
      <c r="F45" s="352"/>
      <c r="G45" s="357"/>
      <c r="H45" s="348"/>
      <c r="I45" s="344" t="e">
        <f t="shared" si="2"/>
        <v>#DIV/0!</v>
      </c>
      <c r="L45" s="79"/>
    </row>
    <row r="46" spans="1:12" ht="12.75" customHeight="1">
      <c r="A46" s="48" t="s">
        <v>88</v>
      </c>
      <c r="B46" s="22">
        <v>2003</v>
      </c>
      <c r="C46" s="55" t="s">
        <v>283</v>
      </c>
      <c r="D46" s="10" t="s">
        <v>312</v>
      </c>
      <c r="E46" s="243"/>
      <c r="F46" s="352"/>
      <c r="G46" s="357"/>
      <c r="H46" s="348"/>
      <c r="I46" s="344" t="e">
        <f t="shared" si="2"/>
        <v>#DIV/0!</v>
      </c>
      <c r="L46" s="79"/>
    </row>
    <row r="47" spans="1:12" ht="12.75" customHeight="1">
      <c r="A47" s="48" t="s">
        <v>88</v>
      </c>
      <c r="B47" s="22">
        <v>2003</v>
      </c>
      <c r="C47" s="55" t="s">
        <v>467</v>
      </c>
      <c r="D47" s="10" t="s">
        <v>319</v>
      </c>
      <c r="E47" s="243"/>
      <c r="F47" s="352"/>
      <c r="G47" s="357"/>
      <c r="H47" s="348"/>
      <c r="I47" s="344" t="e">
        <f t="shared" si="2"/>
        <v>#DIV/0!</v>
      </c>
      <c r="L47" s="79"/>
    </row>
    <row r="48" spans="1:12" ht="12.75" customHeight="1">
      <c r="A48" s="48" t="s">
        <v>88</v>
      </c>
      <c r="B48" s="22">
        <v>2003</v>
      </c>
      <c r="C48" s="55" t="s">
        <v>467</v>
      </c>
      <c r="D48" s="10" t="s">
        <v>356</v>
      </c>
      <c r="E48" s="244"/>
      <c r="F48" s="352"/>
      <c r="G48" s="357"/>
      <c r="H48" s="348"/>
      <c r="I48" s="344" t="e">
        <f t="shared" si="2"/>
        <v>#DIV/0!</v>
      </c>
      <c r="L48" s="79"/>
    </row>
    <row r="49" spans="1:12" s="165" customFormat="1" ht="3" customHeight="1">
      <c r="A49" s="217"/>
      <c r="B49" s="166"/>
      <c r="C49" s="185"/>
      <c r="F49" s="198"/>
      <c r="G49" s="215"/>
      <c r="H49" s="207"/>
      <c r="I49" s="189"/>
      <c r="L49" s="173"/>
    </row>
    <row r="50" spans="1:12" ht="12.75" customHeight="1">
      <c r="A50" s="48" t="s">
        <v>88</v>
      </c>
      <c r="B50" s="22">
        <v>2003</v>
      </c>
      <c r="C50" s="8"/>
      <c r="D50" s="8" t="s">
        <v>482</v>
      </c>
      <c r="E50" s="8"/>
      <c r="F50" s="19">
        <f>65.457/10</f>
        <v>6.545699999999999</v>
      </c>
      <c r="H50" s="126">
        <f>144.276*1000/6.588</f>
        <v>21899.817850637522</v>
      </c>
      <c r="I50" s="21">
        <v>335</v>
      </c>
      <c r="L50" s="79"/>
    </row>
    <row r="51" spans="1:12" s="165" customFormat="1" ht="12.75" customHeight="1">
      <c r="A51" s="217"/>
      <c r="B51" s="166"/>
      <c r="F51" s="172"/>
      <c r="G51" s="173"/>
      <c r="H51" s="183"/>
      <c r="I51" s="184"/>
      <c r="L51" s="173"/>
    </row>
    <row r="52" spans="1:12" ht="12.75" customHeight="1">
      <c r="A52" s="48" t="s">
        <v>88</v>
      </c>
      <c r="B52" s="22">
        <v>2004</v>
      </c>
      <c r="C52" s="9" t="s">
        <v>528</v>
      </c>
      <c r="D52" s="10" t="s">
        <v>329</v>
      </c>
      <c r="F52" s="148">
        <f>289.566/10</f>
        <v>28.956599999999998</v>
      </c>
      <c r="G52" s="261"/>
      <c r="H52" s="126">
        <f>27.565*1000/5.991</f>
        <v>4601.068269070272</v>
      </c>
      <c r="I52" s="21">
        <f>$H52/$F52</f>
        <v>158.89532158714326</v>
      </c>
      <c r="L52" s="79"/>
    </row>
    <row r="53" spans="1:12" s="165" customFormat="1" ht="3" customHeight="1">
      <c r="A53" s="217"/>
      <c r="B53" s="166"/>
      <c r="C53" s="167"/>
      <c r="F53" s="198"/>
      <c r="G53" s="215"/>
      <c r="H53" s="183"/>
      <c r="I53" s="184"/>
      <c r="L53" s="173"/>
    </row>
    <row r="54" spans="1:12" ht="12.75" customHeight="1">
      <c r="A54" s="48" t="s">
        <v>88</v>
      </c>
      <c r="B54" s="22">
        <v>2004</v>
      </c>
      <c r="C54" s="55" t="s">
        <v>725</v>
      </c>
      <c r="D54" s="10" t="s">
        <v>314</v>
      </c>
      <c r="E54" s="242"/>
      <c r="F54" s="352">
        <f>59.069/10</f>
        <v>5.9069</v>
      </c>
      <c r="H54" s="348">
        <f>33.887*1000/5.991</f>
        <v>5656.3178100484065</v>
      </c>
      <c r="I54" s="344">
        <f>$H54/$F54</f>
        <v>957.5780544868554</v>
      </c>
      <c r="L54" s="79"/>
    </row>
    <row r="55" spans="1:12" ht="12.75" customHeight="1">
      <c r="A55" s="48" t="s">
        <v>88</v>
      </c>
      <c r="B55" s="22">
        <v>2004</v>
      </c>
      <c r="C55" s="55" t="s">
        <v>25</v>
      </c>
      <c r="D55" s="10" t="s">
        <v>335</v>
      </c>
      <c r="E55" s="243"/>
      <c r="F55" s="352"/>
      <c r="H55" s="348"/>
      <c r="I55" s="344" t="e">
        <f>$H55/$F55</f>
        <v>#DIV/0!</v>
      </c>
      <c r="L55" s="79"/>
    </row>
    <row r="56" spans="1:12" ht="12.75" customHeight="1">
      <c r="A56" s="48" t="s">
        <v>88</v>
      </c>
      <c r="B56" s="22">
        <v>2004</v>
      </c>
      <c r="C56" s="55" t="s">
        <v>47</v>
      </c>
      <c r="D56" s="10" t="s">
        <v>352</v>
      </c>
      <c r="E56" s="243"/>
      <c r="F56" s="352"/>
      <c r="H56" s="348"/>
      <c r="I56" s="344" t="e">
        <f>$H56/$F56</f>
        <v>#DIV/0!</v>
      </c>
      <c r="L56" s="79"/>
    </row>
    <row r="57" spans="1:12" ht="12.75" customHeight="1">
      <c r="A57" s="48" t="s">
        <v>88</v>
      </c>
      <c r="B57" s="22">
        <v>2004</v>
      </c>
      <c r="C57" s="55" t="s">
        <v>478</v>
      </c>
      <c r="D57" s="10" t="s">
        <v>327</v>
      </c>
      <c r="E57" s="244"/>
      <c r="F57" s="352"/>
      <c r="H57" s="348"/>
      <c r="I57" s="344" t="e">
        <f>$H57/$F57</f>
        <v>#DIV/0!</v>
      </c>
      <c r="L57" s="79"/>
    </row>
    <row r="58" spans="1:12" s="165" customFormat="1" ht="3" customHeight="1">
      <c r="A58" s="217"/>
      <c r="B58" s="166"/>
      <c r="F58" s="172"/>
      <c r="G58" s="173"/>
      <c r="H58" s="183"/>
      <c r="I58" s="184"/>
      <c r="L58" s="173"/>
    </row>
    <row r="59" spans="1:12" ht="12.75" customHeight="1">
      <c r="A59" s="48" t="s">
        <v>88</v>
      </c>
      <c r="B59" s="22">
        <v>2004</v>
      </c>
      <c r="C59" s="55" t="s">
        <v>64</v>
      </c>
      <c r="D59" s="10" t="s">
        <v>315</v>
      </c>
      <c r="E59" s="242"/>
      <c r="F59" s="352">
        <v>2.435</v>
      </c>
      <c r="H59" s="348">
        <f>10.832*1000/5.991</f>
        <v>1808.0454014354866</v>
      </c>
      <c r="I59" s="344">
        <f aca="true" t="shared" si="3" ref="I59:I65">$H59/$F59</f>
        <v>742.5237788236085</v>
      </c>
      <c r="L59" s="79"/>
    </row>
    <row r="60" spans="1:12" ht="12.75" customHeight="1">
      <c r="A60" s="48" t="s">
        <v>88</v>
      </c>
      <c r="B60" s="22">
        <v>2004</v>
      </c>
      <c r="C60" s="55" t="s">
        <v>467</v>
      </c>
      <c r="D60" s="10" t="s">
        <v>354</v>
      </c>
      <c r="E60" s="243"/>
      <c r="F60" s="352"/>
      <c r="H60" s="348"/>
      <c r="I60" s="344" t="e">
        <f t="shared" si="3"/>
        <v>#DIV/0!</v>
      </c>
      <c r="L60" s="79"/>
    </row>
    <row r="61" spans="1:12" ht="12.75" customHeight="1">
      <c r="A61" s="48" t="s">
        <v>88</v>
      </c>
      <c r="B61" s="22">
        <v>2004</v>
      </c>
      <c r="C61" s="55" t="s">
        <v>14</v>
      </c>
      <c r="D61" s="10" t="s">
        <v>345</v>
      </c>
      <c r="E61" s="244"/>
      <c r="F61" s="352"/>
      <c r="H61" s="348"/>
      <c r="I61" s="344" t="e">
        <f t="shared" si="3"/>
        <v>#DIV/0!</v>
      </c>
      <c r="L61" s="79"/>
    </row>
    <row r="62" spans="1:12" s="165" customFormat="1" ht="3" customHeight="1">
      <c r="A62" s="217"/>
      <c r="B62" s="166"/>
      <c r="F62" s="172"/>
      <c r="G62" s="173"/>
      <c r="H62" s="183"/>
      <c r="I62" s="184" t="e">
        <f t="shared" si="3"/>
        <v>#DIV/0!</v>
      </c>
      <c r="L62" s="173"/>
    </row>
    <row r="63" spans="1:12" ht="12.75" customHeight="1">
      <c r="A63" s="48" t="s">
        <v>88</v>
      </c>
      <c r="B63" s="22">
        <v>2004</v>
      </c>
      <c r="C63" s="9" t="s">
        <v>282</v>
      </c>
      <c r="D63" s="10" t="s">
        <v>365</v>
      </c>
      <c r="E63" s="242"/>
      <c r="F63" s="345">
        <v>0.053</v>
      </c>
      <c r="G63" s="368" t="s">
        <v>10</v>
      </c>
      <c r="H63" s="351">
        <f>0.3*1000/5.991</f>
        <v>50.07511266900351</v>
      </c>
      <c r="I63" s="347">
        <f t="shared" si="3"/>
        <v>944.8134465849719</v>
      </c>
      <c r="L63" s="79"/>
    </row>
    <row r="64" spans="1:12" ht="12.75" customHeight="1">
      <c r="A64" s="48" t="s">
        <v>88</v>
      </c>
      <c r="B64" s="22">
        <v>2004</v>
      </c>
      <c r="C64" s="9" t="s">
        <v>280</v>
      </c>
      <c r="D64" s="10" t="s">
        <v>378</v>
      </c>
      <c r="E64" s="243"/>
      <c r="F64" s="367"/>
      <c r="G64" s="368"/>
      <c r="H64" s="324"/>
      <c r="I64" s="325" t="e">
        <f t="shared" si="3"/>
        <v>#DIV/0!</v>
      </c>
      <c r="L64" s="79"/>
    </row>
    <row r="65" spans="1:12" ht="12.75" customHeight="1">
      <c r="A65" s="48" t="s">
        <v>88</v>
      </c>
      <c r="B65" s="22">
        <v>2004</v>
      </c>
      <c r="C65" s="9" t="s">
        <v>281</v>
      </c>
      <c r="D65" s="10" t="s">
        <v>379</v>
      </c>
      <c r="E65" s="244"/>
      <c r="F65" s="367"/>
      <c r="G65" s="368"/>
      <c r="H65" s="324"/>
      <c r="I65" s="325" t="e">
        <f t="shared" si="3"/>
        <v>#DIV/0!</v>
      </c>
      <c r="L65" s="79"/>
    </row>
    <row r="66" spans="1:12" s="165" customFormat="1" ht="3" customHeight="1">
      <c r="A66" s="217"/>
      <c r="B66" s="166"/>
      <c r="C66" s="167"/>
      <c r="F66" s="236"/>
      <c r="G66" s="181"/>
      <c r="H66" s="234"/>
      <c r="I66" s="235"/>
      <c r="L66" s="173"/>
    </row>
    <row r="67" spans="1:12" ht="12.75" customHeight="1">
      <c r="A67" s="48" t="s">
        <v>88</v>
      </c>
      <c r="B67" s="22">
        <v>2004</v>
      </c>
      <c r="C67" s="8"/>
      <c r="D67" s="8" t="s">
        <v>482</v>
      </c>
      <c r="E67" s="8"/>
      <c r="F67" s="19">
        <f>32.709/10</f>
        <v>3.2709</v>
      </c>
      <c r="H67" s="126">
        <f>179.584*1000/5.991</f>
        <v>29975.63011183442</v>
      </c>
      <c r="I67" s="21">
        <f>$H67/$F67/10</f>
        <v>916.433706681171</v>
      </c>
      <c r="L67" s="79"/>
    </row>
    <row r="68" spans="1:12" ht="12.75" customHeight="1">
      <c r="A68" s="48"/>
      <c r="C68" s="8"/>
      <c r="D68" s="8"/>
      <c r="E68" s="8"/>
      <c r="F68" s="19"/>
      <c r="H68" s="126"/>
      <c r="I68" s="21"/>
      <c r="L68" s="79"/>
    </row>
    <row r="69" spans="1:12" ht="12.75" customHeight="1">
      <c r="A69" s="48" t="s">
        <v>83</v>
      </c>
      <c r="B69" s="22">
        <v>2004</v>
      </c>
      <c r="C69" s="251" t="s">
        <v>532</v>
      </c>
      <c r="D69" s="25" t="s">
        <v>42</v>
      </c>
      <c r="E69" s="8"/>
      <c r="F69" s="19">
        <v>5</v>
      </c>
      <c r="H69" s="125">
        <v>7712</v>
      </c>
      <c r="I69" s="69">
        <f>$H69/$F69</f>
        <v>1542.4</v>
      </c>
      <c r="L69" s="79"/>
    </row>
    <row r="70" spans="1:12" s="24" customFormat="1" ht="3" customHeight="1">
      <c r="A70" s="217"/>
      <c r="B70" s="166"/>
      <c r="C70" s="166"/>
      <c r="D70" s="180"/>
      <c r="E70" s="180"/>
      <c r="F70" s="172"/>
      <c r="G70" s="196"/>
      <c r="H70" s="183"/>
      <c r="I70" s="184"/>
      <c r="L70" s="83"/>
    </row>
    <row r="71" spans="1:9" ht="12.75" customHeight="1">
      <c r="A71" s="48" t="s">
        <v>87</v>
      </c>
      <c r="B71" s="22">
        <v>2003</v>
      </c>
      <c r="C71" s="55" t="s">
        <v>14</v>
      </c>
      <c r="D71" s="10" t="s">
        <v>345</v>
      </c>
      <c r="E71" s="252"/>
      <c r="F71" s="345">
        <v>14.771960000000002</v>
      </c>
      <c r="G71" s="100"/>
      <c r="H71" s="354">
        <f>8432/0.88603</f>
        <v>9516.607789803957</v>
      </c>
      <c r="I71" s="349">
        <f>$H71/$F71</f>
        <v>644.2346032485842</v>
      </c>
    </row>
    <row r="72" spans="1:9" ht="12.75" customHeight="1">
      <c r="A72" s="48" t="s">
        <v>87</v>
      </c>
      <c r="B72" s="22">
        <v>2003</v>
      </c>
      <c r="C72" s="55" t="s">
        <v>467</v>
      </c>
      <c r="D72" s="10" t="s">
        <v>315</v>
      </c>
      <c r="E72" s="253"/>
      <c r="F72" s="345"/>
      <c r="G72" s="100"/>
      <c r="H72" s="355">
        <v>1160.699</v>
      </c>
      <c r="I72" s="350" t="e">
        <f>$H72/$F72</f>
        <v>#DIV/0!</v>
      </c>
    </row>
    <row r="73" spans="1:9" ht="12.75" customHeight="1">
      <c r="A73" s="48" t="s">
        <v>87</v>
      </c>
      <c r="B73" s="22">
        <v>2003</v>
      </c>
      <c r="C73" s="55" t="s">
        <v>467</v>
      </c>
      <c r="D73" s="10" t="s">
        <v>354</v>
      </c>
      <c r="E73" s="254"/>
      <c r="F73" s="345"/>
      <c r="G73" s="100"/>
      <c r="H73" s="355">
        <v>1160.699</v>
      </c>
      <c r="I73" s="350" t="e">
        <f>$H73/$F73</f>
        <v>#DIV/0!</v>
      </c>
    </row>
    <row r="74" spans="1:12" s="24" customFormat="1" ht="3" customHeight="1">
      <c r="A74" s="217"/>
      <c r="B74" s="166"/>
      <c r="C74" s="166"/>
      <c r="D74" s="180"/>
      <c r="E74" s="225"/>
      <c r="F74" s="189"/>
      <c r="G74" s="196"/>
      <c r="H74" s="207"/>
      <c r="I74" s="189"/>
      <c r="L74" s="83"/>
    </row>
    <row r="75" spans="1:9" ht="12.75" customHeight="1">
      <c r="A75" s="48" t="s">
        <v>87</v>
      </c>
      <c r="B75" s="22">
        <v>2003</v>
      </c>
      <c r="C75" s="55" t="s">
        <v>720</v>
      </c>
      <c r="D75" s="75" t="s">
        <v>373</v>
      </c>
      <c r="E75" s="252"/>
      <c r="F75" s="352">
        <v>5.188119999999999</v>
      </c>
      <c r="G75" s="83"/>
      <c r="H75" s="362">
        <f>2583/0.88603</f>
        <v>2915.2511765967292</v>
      </c>
      <c r="I75" s="364">
        <f>$H75/$F75</f>
        <v>561.9089721511318</v>
      </c>
    </row>
    <row r="76" spans="1:9" ht="12.75" customHeight="1">
      <c r="A76" s="48" t="s">
        <v>87</v>
      </c>
      <c r="B76" s="22">
        <v>2003</v>
      </c>
      <c r="C76" s="55" t="s">
        <v>479</v>
      </c>
      <c r="D76" s="75" t="s">
        <v>374</v>
      </c>
      <c r="E76" s="253"/>
      <c r="F76" s="352"/>
      <c r="G76" s="83"/>
      <c r="H76" s="363">
        <v>1160.699</v>
      </c>
      <c r="I76" s="365" t="e">
        <f>$H76/$F76</f>
        <v>#DIV/0!</v>
      </c>
    </row>
    <row r="77" spans="1:9" ht="12.75" customHeight="1">
      <c r="A77" s="48" t="s">
        <v>87</v>
      </c>
      <c r="B77" s="22">
        <v>2003</v>
      </c>
      <c r="C77" s="55" t="s">
        <v>15</v>
      </c>
      <c r="D77" s="75" t="s">
        <v>312</v>
      </c>
      <c r="E77" s="253"/>
      <c r="F77" s="352"/>
      <c r="G77" s="83"/>
      <c r="H77" s="363">
        <v>1160.699</v>
      </c>
      <c r="I77" s="365" t="e">
        <f>$H77/$F77</f>
        <v>#DIV/0!</v>
      </c>
    </row>
    <row r="78" spans="1:9" ht="12.75" customHeight="1">
      <c r="A78" s="48" t="s">
        <v>87</v>
      </c>
      <c r="B78" s="22">
        <v>2003</v>
      </c>
      <c r="C78" s="55" t="s">
        <v>467</v>
      </c>
      <c r="D78" s="75" t="s">
        <v>319</v>
      </c>
      <c r="E78" s="253"/>
      <c r="F78" s="352"/>
      <c r="G78" s="83"/>
      <c r="H78" s="363">
        <v>1160.699</v>
      </c>
      <c r="I78" s="365" t="e">
        <f>$H78/$F78</f>
        <v>#DIV/0!</v>
      </c>
    </row>
    <row r="79" spans="1:12" s="24" customFormat="1" ht="12.75" customHeight="1">
      <c r="A79" s="48" t="s">
        <v>87</v>
      </c>
      <c r="B79" s="22">
        <v>2003</v>
      </c>
      <c r="C79" s="55" t="s">
        <v>467</v>
      </c>
      <c r="D79" s="75" t="s">
        <v>356</v>
      </c>
      <c r="E79" s="254"/>
      <c r="F79" s="352"/>
      <c r="G79" s="83"/>
      <c r="H79" s="363">
        <v>1160.699</v>
      </c>
      <c r="I79" s="365" t="e">
        <f>$H79/$F79</f>
        <v>#DIV/0!</v>
      </c>
      <c r="L79" s="83"/>
    </row>
    <row r="80" spans="1:12" ht="3" customHeight="1">
      <c r="A80" s="48"/>
      <c r="C80" s="22"/>
      <c r="D80" s="8"/>
      <c r="E80" s="8"/>
      <c r="F80" s="19"/>
      <c r="H80" s="126"/>
      <c r="I80" s="21"/>
      <c r="L80" s="79"/>
    </row>
    <row r="81" spans="1:12" s="24" customFormat="1" ht="12.75" customHeight="1">
      <c r="A81" s="48" t="s">
        <v>87</v>
      </c>
      <c r="B81" s="22">
        <v>2003</v>
      </c>
      <c r="C81" s="55" t="s">
        <v>725</v>
      </c>
      <c r="D81" s="10" t="s">
        <v>314</v>
      </c>
      <c r="E81" s="242"/>
      <c r="F81" s="352">
        <v>3.5403200000000004</v>
      </c>
      <c r="G81" s="357"/>
      <c r="H81" s="363">
        <f>1311/0.88603</f>
        <v>1479.6338724422424</v>
      </c>
      <c r="I81" s="365">
        <f>$H81/$F81</f>
        <v>417.93789048510934</v>
      </c>
      <c r="L81" s="83"/>
    </row>
    <row r="82" spans="1:12" s="24" customFormat="1" ht="12.75" customHeight="1">
      <c r="A82" s="48" t="s">
        <v>87</v>
      </c>
      <c r="B82" s="22">
        <v>2003</v>
      </c>
      <c r="C82" s="55" t="s">
        <v>25</v>
      </c>
      <c r="D82" s="10" t="s">
        <v>335</v>
      </c>
      <c r="E82" s="243"/>
      <c r="F82" s="352"/>
      <c r="G82" s="357"/>
      <c r="H82" s="363"/>
      <c r="I82" s="365"/>
      <c r="L82" s="83"/>
    </row>
    <row r="83" spans="1:12" s="24" customFormat="1" ht="12.75" customHeight="1">
      <c r="A83" s="48" t="s">
        <v>87</v>
      </c>
      <c r="B83" s="22">
        <v>2003</v>
      </c>
      <c r="C83" s="55" t="s">
        <v>47</v>
      </c>
      <c r="D83" s="10" t="s">
        <v>352</v>
      </c>
      <c r="E83" s="243"/>
      <c r="F83" s="352"/>
      <c r="G83" s="357"/>
      <c r="H83" s="363"/>
      <c r="I83" s="365"/>
      <c r="L83" s="83"/>
    </row>
    <row r="84" spans="1:12" s="24" customFormat="1" ht="12.75" customHeight="1">
      <c r="A84" s="48" t="s">
        <v>87</v>
      </c>
      <c r="B84" s="22">
        <v>2003</v>
      </c>
      <c r="C84" s="55" t="s">
        <v>478</v>
      </c>
      <c r="D84" s="10" t="s">
        <v>327</v>
      </c>
      <c r="E84" s="244"/>
      <c r="F84" s="352"/>
      <c r="G84" s="357"/>
      <c r="H84" s="363"/>
      <c r="I84" s="365"/>
      <c r="L84" s="83"/>
    </row>
    <row r="85" spans="1:12" s="24" customFormat="1" ht="3" customHeight="1">
      <c r="A85" s="217"/>
      <c r="B85" s="166"/>
      <c r="C85" s="185"/>
      <c r="D85" s="165"/>
      <c r="E85" s="165"/>
      <c r="F85" s="198"/>
      <c r="G85" s="215"/>
      <c r="H85" s="200"/>
      <c r="I85" s="198"/>
      <c r="L85" s="83"/>
    </row>
    <row r="86" spans="1:12" s="24" customFormat="1" ht="12.75" customHeight="1">
      <c r="A86" s="48" t="s">
        <v>87</v>
      </c>
      <c r="B86" s="22">
        <v>2003</v>
      </c>
      <c r="C86" s="22"/>
      <c r="D86" s="25" t="s">
        <v>482</v>
      </c>
      <c r="E86" s="25"/>
      <c r="F86" s="19">
        <v>362.22466</v>
      </c>
      <c r="G86" s="83"/>
      <c r="H86" s="126">
        <f>157010/0.88603</f>
        <v>177206.18940667924</v>
      </c>
      <c r="I86" s="21">
        <f>$H86/$F86</f>
        <v>489.2162488514152</v>
      </c>
      <c r="L86" s="83"/>
    </row>
    <row r="87" spans="1:12" s="24" customFormat="1" ht="12.75" customHeight="1">
      <c r="A87" s="217"/>
      <c r="B87" s="166"/>
      <c r="C87" s="166"/>
      <c r="D87" s="180"/>
      <c r="E87" s="180"/>
      <c r="F87" s="172"/>
      <c r="G87" s="196"/>
      <c r="H87" s="183"/>
      <c r="I87" s="184"/>
      <c r="L87" s="83"/>
    </row>
    <row r="88" spans="1:9" ht="12.75" customHeight="1">
      <c r="A88" s="48" t="s">
        <v>87</v>
      </c>
      <c r="B88" s="22">
        <v>2004</v>
      </c>
      <c r="C88" s="55" t="s">
        <v>14</v>
      </c>
      <c r="D88" s="10" t="s">
        <v>345</v>
      </c>
      <c r="E88" s="252"/>
      <c r="F88" s="345">
        <v>15.809219999999998</v>
      </c>
      <c r="G88" s="100"/>
      <c r="H88" s="354">
        <f>8753/0.80537</f>
        <v>10868.296559345394</v>
      </c>
      <c r="I88" s="349">
        <f>$H88/$F88</f>
        <v>687.465704148933</v>
      </c>
    </row>
    <row r="89" spans="1:9" ht="12.75" customHeight="1">
      <c r="A89" s="48" t="s">
        <v>87</v>
      </c>
      <c r="B89" s="22">
        <v>2004</v>
      </c>
      <c r="C89" s="55" t="s">
        <v>467</v>
      </c>
      <c r="D89" s="10" t="s">
        <v>315</v>
      </c>
      <c r="E89" s="253"/>
      <c r="F89" s="345"/>
      <c r="G89" s="100"/>
      <c r="H89" s="355">
        <v>1160.699</v>
      </c>
      <c r="I89" s="350" t="e">
        <f>$H89/$F89</f>
        <v>#DIV/0!</v>
      </c>
    </row>
    <row r="90" spans="1:9" ht="12.75" customHeight="1">
      <c r="A90" s="48" t="s">
        <v>87</v>
      </c>
      <c r="B90" s="22">
        <v>2004</v>
      </c>
      <c r="C90" s="55" t="s">
        <v>467</v>
      </c>
      <c r="D90" s="10" t="s">
        <v>354</v>
      </c>
      <c r="E90" s="254"/>
      <c r="F90" s="345"/>
      <c r="G90" s="100"/>
      <c r="H90" s="355">
        <v>1160.699</v>
      </c>
      <c r="I90" s="350" t="e">
        <f>$H90/$F90</f>
        <v>#DIV/0!</v>
      </c>
    </row>
    <row r="91" spans="1:12" s="24" customFormat="1" ht="3" customHeight="1">
      <c r="A91" s="217"/>
      <c r="B91" s="166"/>
      <c r="C91" s="166"/>
      <c r="D91" s="180"/>
      <c r="E91" s="225"/>
      <c r="F91" s="189"/>
      <c r="G91" s="196"/>
      <c r="H91" s="207"/>
      <c r="I91" s="189"/>
      <c r="L91" s="83"/>
    </row>
    <row r="92" spans="1:9" ht="12.75" customHeight="1">
      <c r="A92" s="48" t="s">
        <v>87</v>
      </c>
      <c r="B92" s="22">
        <v>2004</v>
      </c>
      <c r="C92" s="55" t="s">
        <v>720</v>
      </c>
      <c r="D92" s="75" t="s">
        <v>373</v>
      </c>
      <c r="E92" s="252"/>
      <c r="F92" s="352">
        <v>4.6025</v>
      </c>
      <c r="G92" s="83"/>
      <c r="H92" s="362">
        <f>2498/0.80537</f>
        <v>3101.679973180029</v>
      </c>
      <c r="I92" s="364">
        <f>$H92/$F92</f>
        <v>673.9119985182028</v>
      </c>
    </row>
    <row r="93" spans="1:9" ht="12.75" customHeight="1">
      <c r="A93" s="48" t="s">
        <v>87</v>
      </c>
      <c r="B93" s="22">
        <v>2004</v>
      </c>
      <c r="C93" s="55" t="s">
        <v>479</v>
      </c>
      <c r="D93" s="75" t="s">
        <v>374</v>
      </c>
      <c r="E93" s="253"/>
      <c r="F93" s="352"/>
      <c r="G93" s="83"/>
      <c r="H93" s="363">
        <v>1160.699</v>
      </c>
      <c r="I93" s="365" t="e">
        <f>$H93/$F93</f>
        <v>#DIV/0!</v>
      </c>
    </row>
    <row r="94" spans="1:9" ht="12.75" customHeight="1">
      <c r="A94" s="48" t="s">
        <v>87</v>
      </c>
      <c r="B94" s="22">
        <v>2004</v>
      </c>
      <c r="C94" s="55" t="s">
        <v>15</v>
      </c>
      <c r="D94" s="75" t="s">
        <v>312</v>
      </c>
      <c r="E94" s="253"/>
      <c r="F94" s="352"/>
      <c r="G94" s="83"/>
      <c r="H94" s="363">
        <v>1160.699</v>
      </c>
      <c r="I94" s="365" t="e">
        <f>$H94/$F94</f>
        <v>#DIV/0!</v>
      </c>
    </row>
    <row r="95" spans="1:9" ht="12.75" customHeight="1">
      <c r="A95" s="48" t="s">
        <v>87</v>
      </c>
      <c r="B95" s="22">
        <v>2004</v>
      </c>
      <c r="C95" s="55" t="s">
        <v>467</v>
      </c>
      <c r="D95" s="75" t="s">
        <v>319</v>
      </c>
      <c r="E95" s="253"/>
      <c r="F95" s="352"/>
      <c r="G95" s="83"/>
      <c r="H95" s="363">
        <v>1160.699</v>
      </c>
      <c r="I95" s="365" t="e">
        <f>$H95/$F95</f>
        <v>#DIV/0!</v>
      </c>
    </row>
    <row r="96" spans="1:12" s="24" customFormat="1" ht="12.75" customHeight="1">
      <c r="A96" s="48" t="s">
        <v>87</v>
      </c>
      <c r="B96" s="22">
        <v>2004</v>
      </c>
      <c r="C96" s="55" t="s">
        <v>467</v>
      </c>
      <c r="D96" s="75" t="s">
        <v>356</v>
      </c>
      <c r="E96" s="254"/>
      <c r="F96" s="352"/>
      <c r="G96" s="83"/>
      <c r="H96" s="363">
        <v>1160.699</v>
      </c>
      <c r="I96" s="365" t="e">
        <f>$H96/$F96</f>
        <v>#DIV/0!</v>
      </c>
      <c r="L96" s="83"/>
    </row>
    <row r="97" ht="3" customHeight="1">
      <c r="H97" s="123"/>
    </row>
    <row r="98" spans="1:9" s="24" customFormat="1" ht="12.75" customHeight="1">
      <c r="A98" s="48" t="s">
        <v>87</v>
      </c>
      <c r="B98" s="22">
        <v>2004</v>
      </c>
      <c r="C98" s="55" t="s">
        <v>725</v>
      </c>
      <c r="D98" s="10" t="s">
        <v>314</v>
      </c>
      <c r="E98" s="242"/>
      <c r="F98" s="352">
        <v>1.19014</v>
      </c>
      <c r="G98" s="357"/>
      <c r="H98" s="363">
        <f>782/0.80537</f>
        <v>970.9822814358618</v>
      </c>
      <c r="I98" s="365">
        <f>$H98/$F98</f>
        <v>815.8555140032784</v>
      </c>
    </row>
    <row r="99" spans="1:9" s="24" customFormat="1" ht="12.75" customHeight="1">
      <c r="A99" s="48" t="s">
        <v>87</v>
      </c>
      <c r="B99" s="22">
        <v>2004</v>
      </c>
      <c r="C99" s="55" t="s">
        <v>25</v>
      </c>
      <c r="D99" s="10" t="s">
        <v>335</v>
      </c>
      <c r="E99" s="243"/>
      <c r="F99" s="352"/>
      <c r="G99" s="357"/>
      <c r="H99" s="363"/>
      <c r="I99" s="365"/>
    </row>
    <row r="100" spans="1:9" s="24" customFormat="1" ht="12.75" customHeight="1">
      <c r="A100" s="48" t="s">
        <v>87</v>
      </c>
      <c r="B100" s="22">
        <v>2004</v>
      </c>
      <c r="C100" s="55" t="s">
        <v>47</v>
      </c>
      <c r="D100" s="10" t="s">
        <v>352</v>
      </c>
      <c r="E100" s="243"/>
      <c r="F100" s="352"/>
      <c r="G100" s="357"/>
      <c r="H100" s="363"/>
      <c r="I100" s="365"/>
    </row>
    <row r="101" spans="1:9" s="24" customFormat="1" ht="12.75" customHeight="1">
      <c r="A101" s="48" t="s">
        <v>87</v>
      </c>
      <c r="B101" s="22">
        <v>2004</v>
      </c>
      <c r="C101" s="55" t="s">
        <v>478</v>
      </c>
      <c r="D101" s="10" t="s">
        <v>327</v>
      </c>
      <c r="E101" s="244"/>
      <c r="F101" s="352"/>
      <c r="G101" s="357"/>
      <c r="H101" s="363"/>
      <c r="I101" s="365"/>
    </row>
    <row r="102" spans="1:9" s="24" customFormat="1" ht="3" customHeight="1">
      <c r="A102" s="217"/>
      <c r="B102" s="166"/>
      <c r="C102" s="185"/>
      <c r="D102" s="165"/>
      <c r="E102" s="165"/>
      <c r="F102" s="198"/>
      <c r="G102" s="215"/>
      <c r="H102" s="200"/>
      <c r="I102" s="198"/>
    </row>
    <row r="103" spans="1:12" s="24" customFormat="1" ht="12.75" customHeight="1">
      <c r="A103" s="48" t="s">
        <v>87</v>
      </c>
      <c r="B103" s="22">
        <v>2004</v>
      </c>
      <c r="C103" s="22"/>
      <c r="D103" s="25" t="s">
        <v>482</v>
      </c>
      <c r="E103" s="25"/>
      <c r="F103" s="19">
        <v>390.5293</v>
      </c>
      <c r="G103" s="83"/>
      <c r="H103" s="126">
        <f>173343/0.80537</f>
        <v>215233.99182984218</v>
      </c>
      <c r="I103" s="21">
        <f>$H103/$F103</f>
        <v>551.13404251574</v>
      </c>
      <c r="L103" s="83"/>
    </row>
    <row r="104" ht="12.75" customHeight="1">
      <c r="H104" s="123"/>
    </row>
    <row r="105" spans="1:9" ht="12.75" customHeight="1">
      <c r="A105" s="48" t="s">
        <v>534</v>
      </c>
      <c r="B105" s="22">
        <v>2003</v>
      </c>
      <c r="C105" s="55" t="s">
        <v>14</v>
      </c>
      <c r="D105" s="10" t="s">
        <v>345</v>
      </c>
      <c r="E105" s="252"/>
      <c r="F105" s="353">
        <v>0</v>
      </c>
      <c r="G105" s="100"/>
      <c r="H105" s="354" t="s">
        <v>71</v>
      </c>
      <c r="I105" s="349" t="s">
        <v>71</v>
      </c>
    </row>
    <row r="106" spans="1:9" ht="12.75" customHeight="1">
      <c r="A106" s="48" t="s">
        <v>534</v>
      </c>
      <c r="B106" s="22">
        <v>2003</v>
      </c>
      <c r="C106" s="55" t="s">
        <v>467</v>
      </c>
      <c r="D106" s="10" t="s">
        <v>315</v>
      </c>
      <c r="E106" s="253"/>
      <c r="F106" s="353"/>
      <c r="G106" s="100" t="s">
        <v>10</v>
      </c>
      <c r="H106" s="355">
        <f>211.761</f>
        <v>211.761</v>
      </c>
      <c r="I106" s="350" t="e">
        <f>$H106/$F106</f>
        <v>#DIV/0!</v>
      </c>
    </row>
    <row r="107" spans="1:9" ht="12.75" customHeight="1">
      <c r="A107" s="48" t="s">
        <v>534</v>
      </c>
      <c r="B107" s="22">
        <v>2003</v>
      </c>
      <c r="C107" s="55" t="s">
        <v>467</v>
      </c>
      <c r="D107" s="10" t="s">
        <v>354</v>
      </c>
      <c r="E107" s="254"/>
      <c r="F107" s="353"/>
      <c r="G107" s="100"/>
      <c r="H107" s="355">
        <f>211.761</f>
        <v>211.761</v>
      </c>
      <c r="I107" s="350" t="e">
        <f>$H107/$F107</f>
        <v>#DIV/0!</v>
      </c>
    </row>
    <row r="108" spans="1:12" s="165" customFormat="1" ht="3" customHeight="1">
      <c r="A108" s="217"/>
      <c r="B108" s="166"/>
      <c r="C108" s="185"/>
      <c r="E108" s="180"/>
      <c r="F108" s="224"/>
      <c r="G108" s="209"/>
      <c r="H108" s="216"/>
      <c r="I108" s="195"/>
      <c r="L108" s="218"/>
    </row>
    <row r="109" spans="1:9" ht="12.75" customHeight="1">
      <c r="A109" s="48" t="s">
        <v>534</v>
      </c>
      <c r="B109" s="22">
        <v>2003</v>
      </c>
      <c r="C109" s="55" t="s">
        <v>720</v>
      </c>
      <c r="D109" s="75" t="s">
        <v>373</v>
      </c>
      <c r="E109" s="252"/>
      <c r="F109" s="366">
        <v>0</v>
      </c>
      <c r="G109" s="83"/>
      <c r="H109" s="362" t="s">
        <v>71</v>
      </c>
      <c r="I109" s="364" t="s">
        <v>71</v>
      </c>
    </row>
    <row r="110" spans="1:9" ht="12.75" customHeight="1">
      <c r="A110" s="48" t="s">
        <v>534</v>
      </c>
      <c r="B110" s="22">
        <v>2003</v>
      </c>
      <c r="C110" s="55" t="s">
        <v>479</v>
      </c>
      <c r="D110" s="75" t="s">
        <v>374</v>
      </c>
      <c r="E110" s="253"/>
      <c r="F110" s="366"/>
      <c r="G110" s="83"/>
      <c r="H110" s="363"/>
      <c r="I110" s="365"/>
    </row>
    <row r="111" spans="1:9" ht="12.75" customHeight="1">
      <c r="A111" s="48" t="s">
        <v>534</v>
      </c>
      <c r="B111" s="22">
        <v>2003</v>
      </c>
      <c r="C111" s="55" t="s">
        <v>15</v>
      </c>
      <c r="D111" s="75" t="s">
        <v>312</v>
      </c>
      <c r="E111" s="253"/>
      <c r="F111" s="366"/>
      <c r="G111" s="83" t="s">
        <v>10</v>
      </c>
      <c r="H111" s="363"/>
      <c r="I111" s="365"/>
    </row>
    <row r="112" spans="1:9" ht="12.75" customHeight="1">
      <c r="A112" s="48" t="s">
        <v>534</v>
      </c>
      <c r="B112" s="22">
        <v>2003</v>
      </c>
      <c r="C112" s="55" t="s">
        <v>467</v>
      </c>
      <c r="D112" s="75" t="s">
        <v>319</v>
      </c>
      <c r="E112" s="253"/>
      <c r="F112" s="366"/>
      <c r="G112" s="83"/>
      <c r="H112" s="363"/>
      <c r="I112" s="365"/>
    </row>
    <row r="113" spans="1:9" ht="12.75" customHeight="1">
      <c r="A113" s="48" t="s">
        <v>534</v>
      </c>
      <c r="B113" s="22">
        <v>2003</v>
      </c>
      <c r="C113" s="55" t="s">
        <v>467</v>
      </c>
      <c r="D113" s="75" t="s">
        <v>356</v>
      </c>
      <c r="E113" s="254"/>
      <c r="F113" s="366"/>
      <c r="G113" s="83"/>
      <c r="H113" s="363"/>
      <c r="I113" s="365"/>
    </row>
    <row r="114" spans="1:12" s="165" customFormat="1" ht="3" customHeight="1">
      <c r="A114" s="217"/>
      <c r="B114" s="166"/>
      <c r="C114" s="185"/>
      <c r="D114" s="180"/>
      <c r="E114" s="180"/>
      <c r="F114" s="211"/>
      <c r="G114" s="196"/>
      <c r="H114" s="200"/>
      <c r="I114" s="198"/>
      <c r="L114" s="218"/>
    </row>
    <row r="115" spans="1:9" ht="12.75" customHeight="1">
      <c r="A115" s="48" t="s">
        <v>534</v>
      </c>
      <c r="B115" s="22">
        <v>2003</v>
      </c>
      <c r="C115" s="55"/>
      <c r="D115" s="75" t="s">
        <v>482</v>
      </c>
      <c r="E115" s="75"/>
      <c r="F115" s="76">
        <v>0</v>
      </c>
      <c r="G115" s="83" t="s">
        <v>10</v>
      </c>
      <c r="H115" s="134" t="s">
        <v>71</v>
      </c>
      <c r="I115" s="70" t="s">
        <v>71</v>
      </c>
    </row>
    <row r="116" spans="1:12" s="165" customFormat="1" ht="12.75" customHeight="1">
      <c r="A116" s="217"/>
      <c r="B116" s="166"/>
      <c r="C116" s="185"/>
      <c r="D116" s="180"/>
      <c r="E116" s="180"/>
      <c r="F116" s="211"/>
      <c r="G116" s="196"/>
      <c r="H116" s="213"/>
      <c r="I116" s="214"/>
      <c r="L116" s="218"/>
    </row>
    <row r="117" spans="1:9" ht="12.75" customHeight="1">
      <c r="A117" s="48" t="s">
        <v>534</v>
      </c>
      <c r="B117" s="22">
        <v>2004</v>
      </c>
      <c r="C117" s="55" t="s">
        <v>14</v>
      </c>
      <c r="D117" s="10" t="s">
        <v>345</v>
      </c>
      <c r="E117" s="252"/>
      <c r="F117" s="353">
        <v>0</v>
      </c>
      <c r="G117" s="100"/>
      <c r="H117" s="354" t="s">
        <v>71</v>
      </c>
      <c r="I117" s="349" t="s">
        <v>71</v>
      </c>
    </row>
    <row r="118" spans="1:9" ht="12.75" customHeight="1">
      <c r="A118" s="48" t="s">
        <v>534</v>
      </c>
      <c r="B118" s="22">
        <v>2004</v>
      </c>
      <c r="C118" s="55" t="s">
        <v>467</v>
      </c>
      <c r="D118" s="10" t="s">
        <v>315</v>
      </c>
      <c r="E118" s="253"/>
      <c r="F118" s="353"/>
      <c r="G118" s="100" t="s">
        <v>10</v>
      </c>
      <c r="H118" s="355">
        <f>211.761</f>
        <v>211.761</v>
      </c>
      <c r="I118" s="350" t="e">
        <f>$H118/$F118</f>
        <v>#DIV/0!</v>
      </c>
    </row>
    <row r="119" spans="1:9" ht="12.75" customHeight="1">
      <c r="A119" s="48" t="s">
        <v>534</v>
      </c>
      <c r="B119" s="22">
        <v>2004</v>
      </c>
      <c r="C119" s="55" t="s">
        <v>467</v>
      </c>
      <c r="D119" s="10" t="s">
        <v>354</v>
      </c>
      <c r="E119" s="254"/>
      <c r="F119" s="353"/>
      <c r="G119" s="100"/>
      <c r="H119" s="355">
        <f>211.761</f>
        <v>211.761</v>
      </c>
      <c r="I119" s="350" t="e">
        <f>$H119/$F119</f>
        <v>#DIV/0!</v>
      </c>
    </row>
    <row r="120" spans="1:12" s="165" customFormat="1" ht="3" customHeight="1">
      <c r="A120" s="217"/>
      <c r="B120" s="166"/>
      <c r="C120" s="185"/>
      <c r="E120" s="180"/>
      <c r="F120" s="224"/>
      <c r="G120" s="209"/>
      <c r="H120" s="216"/>
      <c r="I120" s="195"/>
      <c r="L120" s="218"/>
    </row>
    <row r="121" spans="1:9" ht="12.75" customHeight="1">
      <c r="A121" s="48" t="s">
        <v>534</v>
      </c>
      <c r="B121" s="22">
        <v>2004</v>
      </c>
      <c r="C121" s="55" t="s">
        <v>720</v>
      </c>
      <c r="D121" s="75" t="s">
        <v>373</v>
      </c>
      <c r="E121" s="252"/>
      <c r="F121" s="366">
        <v>0</v>
      </c>
      <c r="G121" s="83"/>
      <c r="H121" s="362" t="s">
        <v>71</v>
      </c>
      <c r="I121" s="364" t="s">
        <v>71</v>
      </c>
    </row>
    <row r="122" spans="1:9" ht="12.75" customHeight="1">
      <c r="A122" s="48" t="s">
        <v>534</v>
      </c>
      <c r="B122" s="22">
        <v>2004</v>
      </c>
      <c r="C122" s="55" t="s">
        <v>479</v>
      </c>
      <c r="D122" s="75" t="s">
        <v>374</v>
      </c>
      <c r="E122" s="253"/>
      <c r="F122" s="366"/>
      <c r="G122" s="83"/>
      <c r="H122" s="363"/>
      <c r="I122" s="365"/>
    </row>
    <row r="123" spans="1:9" ht="12.75" customHeight="1">
      <c r="A123" s="48" t="s">
        <v>534</v>
      </c>
      <c r="B123" s="22">
        <v>2004</v>
      </c>
      <c r="C123" s="55" t="s">
        <v>15</v>
      </c>
      <c r="D123" s="75" t="s">
        <v>312</v>
      </c>
      <c r="E123" s="253"/>
      <c r="F123" s="366"/>
      <c r="G123" s="83" t="s">
        <v>10</v>
      </c>
      <c r="H123" s="363"/>
      <c r="I123" s="365"/>
    </row>
    <row r="124" spans="1:9" ht="12.75" customHeight="1">
      <c r="A124" s="48" t="s">
        <v>534</v>
      </c>
      <c r="B124" s="22">
        <v>2004</v>
      </c>
      <c r="C124" s="55" t="s">
        <v>467</v>
      </c>
      <c r="D124" s="75" t="s">
        <v>319</v>
      </c>
      <c r="E124" s="253"/>
      <c r="F124" s="366"/>
      <c r="G124" s="83"/>
      <c r="H124" s="363"/>
      <c r="I124" s="365"/>
    </row>
    <row r="125" spans="1:9" ht="12.75" customHeight="1">
      <c r="A125" s="48" t="s">
        <v>534</v>
      </c>
      <c r="B125" s="22">
        <v>2004</v>
      </c>
      <c r="C125" s="55" t="s">
        <v>467</v>
      </c>
      <c r="D125" s="75" t="s">
        <v>356</v>
      </c>
      <c r="E125" s="254"/>
      <c r="F125" s="366"/>
      <c r="G125" s="83"/>
      <c r="H125" s="363"/>
      <c r="I125" s="365"/>
    </row>
    <row r="126" spans="1:12" s="165" customFormat="1" ht="3" customHeight="1">
      <c r="A126" s="217"/>
      <c r="B126" s="166"/>
      <c r="C126" s="185"/>
      <c r="D126" s="180"/>
      <c r="E126" s="180"/>
      <c r="F126" s="211"/>
      <c r="G126" s="196"/>
      <c r="H126" s="200"/>
      <c r="I126" s="198"/>
      <c r="L126" s="218"/>
    </row>
    <row r="127" spans="1:9" ht="12.75" customHeight="1">
      <c r="A127" s="48" t="s">
        <v>534</v>
      </c>
      <c r="B127" s="22">
        <v>2004</v>
      </c>
      <c r="C127" s="55"/>
      <c r="D127" s="75" t="s">
        <v>482</v>
      </c>
      <c r="E127" s="75"/>
      <c r="F127" s="76">
        <v>0</v>
      </c>
      <c r="G127" s="83" t="s">
        <v>10</v>
      </c>
      <c r="H127" s="134" t="s">
        <v>71</v>
      </c>
      <c r="I127" s="70" t="s">
        <v>71</v>
      </c>
    </row>
    <row r="128" spans="2:12" s="165" customFormat="1" ht="12.75" customHeight="1">
      <c r="B128" s="166"/>
      <c r="C128" s="167"/>
      <c r="F128" s="172"/>
      <c r="G128" s="173"/>
      <c r="H128" s="171"/>
      <c r="I128" s="169"/>
      <c r="L128" s="218"/>
    </row>
    <row r="129" spans="1:12" ht="12.75" customHeight="1">
      <c r="A129" s="48" t="s">
        <v>78</v>
      </c>
      <c r="B129" s="22">
        <v>2003</v>
      </c>
      <c r="C129" s="9" t="s">
        <v>467</v>
      </c>
      <c r="D129" s="10" t="s">
        <v>313</v>
      </c>
      <c r="F129" s="42">
        <v>191.9</v>
      </c>
      <c r="H129" s="126">
        <f>112627/0.88603</f>
        <v>127114.20606525739</v>
      </c>
      <c r="I129" s="21">
        <f>$H129/$F129</f>
        <v>662.3981556292724</v>
      </c>
      <c r="L129" s="79"/>
    </row>
    <row r="130" spans="1:12" ht="12.75" customHeight="1">
      <c r="A130" s="48" t="s">
        <v>78</v>
      </c>
      <c r="B130" s="22">
        <v>2003</v>
      </c>
      <c r="C130" s="9" t="s">
        <v>726</v>
      </c>
      <c r="D130" s="10" t="s">
        <v>329</v>
      </c>
      <c r="F130" s="42">
        <v>19.6</v>
      </c>
      <c r="H130" s="126">
        <f>7272/0.88603</f>
        <v>8207.397040732256</v>
      </c>
      <c r="I130" s="21">
        <f>$H130/$F130</f>
        <v>418.74474697613545</v>
      </c>
      <c r="L130" s="79"/>
    </row>
    <row r="131" spans="1:12" ht="12.75" customHeight="1">
      <c r="A131" s="48" t="s">
        <v>78</v>
      </c>
      <c r="B131" s="22">
        <v>2003</v>
      </c>
      <c r="D131" s="10" t="s">
        <v>482</v>
      </c>
      <c r="F131" s="42">
        <v>180</v>
      </c>
      <c r="H131" s="126">
        <f>81255/0.88603</f>
        <v>91706.82708260443</v>
      </c>
      <c r="I131" s="21">
        <f>$H131/$F131</f>
        <v>509.48237268113576</v>
      </c>
      <c r="L131" s="79"/>
    </row>
    <row r="132" spans="1:12" s="165" customFormat="1" ht="12.75" customHeight="1">
      <c r="A132" s="217"/>
      <c r="B132" s="166"/>
      <c r="C132" s="167"/>
      <c r="F132" s="172"/>
      <c r="G132" s="173"/>
      <c r="H132" s="183"/>
      <c r="I132" s="184"/>
      <c r="L132" s="173"/>
    </row>
    <row r="133" spans="1:12" ht="12.75" customHeight="1">
      <c r="A133" s="48" t="s">
        <v>78</v>
      </c>
      <c r="B133" s="22">
        <v>2004</v>
      </c>
      <c r="C133" s="9" t="s">
        <v>467</v>
      </c>
      <c r="D133" s="10" t="s">
        <v>313</v>
      </c>
      <c r="F133" s="42">
        <v>196.5</v>
      </c>
      <c r="H133" s="126">
        <f>118174/0.80537</f>
        <v>146732.5577063958</v>
      </c>
      <c r="I133" s="21">
        <f>$H133/$F133</f>
        <v>746.7305735694443</v>
      </c>
      <c r="L133" s="79"/>
    </row>
    <row r="134" spans="1:12" ht="12.75" customHeight="1">
      <c r="A134" s="48" t="s">
        <v>78</v>
      </c>
      <c r="B134" s="22">
        <v>2004</v>
      </c>
      <c r="C134" s="9" t="s">
        <v>726</v>
      </c>
      <c r="D134" s="10" t="s">
        <v>329</v>
      </c>
      <c r="F134" s="42">
        <v>17.4</v>
      </c>
      <c r="H134" s="126">
        <f>6745/0.80537</f>
        <v>8375.03259371469</v>
      </c>
      <c r="I134" s="21">
        <f>$H134/$F134</f>
        <v>481.32371228245347</v>
      </c>
      <c r="L134" s="79"/>
    </row>
    <row r="135" spans="1:12" ht="12.75" customHeight="1">
      <c r="A135" s="48" t="s">
        <v>78</v>
      </c>
      <c r="B135" s="22">
        <v>2004</v>
      </c>
      <c r="D135" s="10" t="s">
        <v>482</v>
      </c>
      <c r="F135" s="42">
        <v>236</v>
      </c>
      <c r="H135" s="126">
        <f>103230/0.80537</f>
        <v>128177.11114146293</v>
      </c>
      <c r="I135" s="21">
        <f>$H135/$F135</f>
        <v>543.1233522943344</v>
      </c>
      <c r="L135" s="79"/>
    </row>
    <row r="136" spans="1:12" ht="12.75" customHeight="1">
      <c r="A136" s="48"/>
      <c r="H136" s="126"/>
      <c r="I136" s="21"/>
      <c r="L136" s="79"/>
    </row>
    <row r="137" spans="1:12" ht="3" customHeight="1">
      <c r="A137" s="48"/>
      <c r="H137" s="126"/>
      <c r="I137" s="21"/>
      <c r="L137" s="79"/>
    </row>
    <row r="138" spans="1:12" ht="12.75" customHeight="1">
      <c r="A138" s="48" t="s">
        <v>251</v>
      </c>
      <c r="B138" s="22">
        <v>2003</v>
      </c>
      <c r="C138" s="55" t="s">
        <v>282</v>
      </c>
      <c r="D138" s="10" t="s">
        <v>365</v>
      </c>
      <c r="E138" s="242"/>
      <c r="F138" s="345">
        <v>105</v>
      </c>
      <c r="G138" s="368"/>
      <c r="H138" s="351">
        <f>42184/0.88603</f>
        <v>47610.1260679661</v>
      </c>
      <c r="I138" s="347">
        <f>$H138/$F138</f>
        <v>453.4297720758676</v>
      </c>
      <c r="L138" s="79"/>
    </row>
    <row r="139" spans="1:12" ht="12.75" customHeight="1">
      <c r="A139" s="48" t="s">
        <v>251</v>
      </c>
      <c r="B139" s="22">
        <v>2003</v>
      </c>
      <c r="C139" s="55" t="s">
        <v>280</v>
      </c>
      <c r="D139" s="10" t="s">
        <v>378</v>
      </c>
      <c r="E139" s="243"/>
      <c r="F139" s="367"/>
      <c r="G139" s="368"/>
      <c r="H139" s="324"/>
      <c r="I139" s="325" t="e">
        <f>$H139/$F139</f>
        <v>#DIV/0!</v>
      </c>
      <c r="L139" s="79"/>
    </row>
    <row r="140" spans="1:12" ht="12.75" customHeight="1">
      <c r="A140" s="48" t="s">
        <v>251</v>
      </c>
      <c r="B140" s="22">
        <v>2003</v>
      </c>
      <c r="C140" s="55" t="s">
        <v>281</v>
      </c>
      <c r="D140" s="10" t="s">
        <v>379</v>
      </c>
      <c r="E140" s="244"/>
      <c r="F140" s="367"/>
      <c r="G140" s="368"/>
      <c r="H140" s="324"/>
      <c r="I140" s="325" t="e">
        <f>$H140/$F140</f>
        <v>#DIV/0!</v>
      </c>
      <c r="L140" s="79"/>
    </row>
    <row r="141" spans="1:12" ht="3" customHeight="1">
      <c r="A141" s="48"/>
      <c r="C141" s="55"/>
      <c r="F141" s="148"/>
      <c r="H141" s="124"/>
      <c r="I141" s="47"/>
      <c r="L141" s="79"/>
    </row>
    <row r="142" spans="1:12" ht="12.75" customHeight="1">
      <c r="A142" s="48" t="s">
        <v>251</v>
      </c>
      <c r="B142" s="22">
        <v>2003</v>
      </c>
      <c r="C142" s="55" t="s">
        <v>14</v>
      </c>
      <c r="D142" s="10" t="s">
        <v>345</v>
      </c>
      <c r="E142" s="252"/>
      <c r="F142" s="353">
        <v>1</v>
      </c>
      <c r="G142" s="100"/>
      <c r="H142" s="354">
        <f>268/0.88603</f>
        <v>302.472828233807</v>
      </c>
      <c r="I142" s="349">
        <f>$H142/$F142</f>
        <v>302.472828233807</v>
      </c>
      <c r="L142" s="79"/>
    </row>
    <row r="143" spans="1:12" ht="12.75" customHeight="1">
      <c r="A143" s="48" t="s">
        <v>251</v>
      </c>
      <c r="B143" s="22">
        <v>2003</v>
      </c>
      <c r="C143" s="55" t="s">
        <v>467</v>
      </c>
      <c r="D143" s="10" t="s">
        <v>315</v>
      </c>
      <c r="E143" s="253"/>
      <c r="F143" s="353"/>
      <c r="G143" s="100"/>
      <c r="H143" s="355">
        <f>211.761</f>
        <v>211.761</v>
      </c>
      <c r="I143" s="350" t="e">
        <f>$H143/$F143</f>
        <v>#DIV/0!</v>
      </c>
      <c r="L143" s="79"/>
    </row>
    <row r="144" spans="1:12" ht="12.75" customHeight="1">
      <c r="A144" s="48" t="s">
        <v>251</v>
      </c>
      <c r="B144" s="22">
        <v>2003</v>
      </c>
      <c r="C144" s="55" t="s">
        <v>467</v>
      </c>
      <c r="D144" s="10" t="s">
        <v>354</v>
      </c>
      <c r="E144" s="254"/>
      <c r="F144" s="353"/>
      <c r="G144" s="100"/>
      <c r="H144" s="355">
        <f>211.761</f>
        <v>211.761</v>
      </c>
      <c r="I144" s="350" t="e">
        <f>$H144/$F144</f>
        <v>#DIV/0!</v>
      </c>
      <c r="L144" s="79"/>
    </row>
    <row r="145" spans="1:12" ht="3" customHeight="1">
      <c r="A145" s="48"/>
      <c r="C145" s="55"/>
      <c r="F145" s="148"/>
      <c r="H145" s="124"/>
      <c r="I145" s="47"/>
      <c r="L145" s="79"/>
    </row>
    <row r="146" spans="1:12" ht="12.75" customHeight="1">
      <c r="A146" s="48" t="s">
        <v>251</v>
      </c>
      <c r="B146" s="22">
        <v>2003</v>
      </c>
      <c r="C146" s="55" t="s">
        <v>720</v>
      </c>
      <c r="D146" s="75" t="s">
        <v>373</v>
      </c>
      <c r="E146" s="252"/>
      <c r="F146" s="366">
        <v>1</v>
      </c>
      <c r="G146" s="83"/>
      <c r="H146" s="363">
        <f>258/0.88603</f>
        <v>291.186528672844</v>
      </c>
      <c r="I146" s="365">
        <f>$H146/$F146</f>
        <v>291.186528672844</v>
      </c>
      <c r="L146" s="79"/>
    </row>
    <row r="147" spans="1:12" ht="12.75" customHeight="1">
      <c r="A147" s="48" t="s">
        <v>251</v>
      </c>
      <c r="B147" s="22">
        <v>2003</v>
      </c>
      <c r="C147" s="55" t="s">
        <v>479</v>
      </c>
      <c r="D147" s="75" t="s">
        <v>374</v>
      </c>
      <c r="E147" s="253"/>
      <c r="F147" s="366"/>
      <c r="G147" s="83"/>
      <c r="H147" s="363"/>
      <c r="I147" s="365"/>
      <c r="L147" s="79"/>
    </row>
    <row r="148" spans="1:12" ht="12.75" customHeight="1">
      <c r="A148" s="48" t="s">
        <v>251</v>
      </c>
      <c r="B148" s="22">
        <v>2003</v>
      </c>
      <c r="C148" s="55" t="s">
        <v>15</v>
      </c>
      <c r="D148" s="75" t="s">
        <v>312</v>
      </c>
      <c r="E148" s="253"/>
      <c r="F148" s="366"/>
      <c r="G148" s="83"/>
      <c r="H148" s="363"/>
      <c r="I148" s="365"/>
      <c r="L148" s="79"/>
    </row>
    <row r="149" spans="1:12" ht="12.75" customHeight="1">
      <c r="A149" s="48" t="s">
        <v>251</v>
      </c>
      <c r="B149" s="22">
        <v>2003</v>
      </c>
      <c r="C149" s="55" t="s">
        <v>467</v>
      </c>
      <c r="D149" s="75" t="s">
        <v>319</v>
      </c>
      <c r="E149" s="253"/>
      <c r="F149" s="366"/>
      <c r="G149" s="83"/>
      <c r="H149" s="363"/>
      <c r="I149" s="365"/>
      <c r="L149" s="79"/>
    </row>
    <row r="150" spans="1:12" ht="12.75" customHeight="1">
      <c r="A150" s="48" t="s">
        <v>251</v>
      </c>
      <c r="B150" s="22">
        <v>2003</v>
      </c>
      <c r="C150" s="55" t="s">
        <v>467</v>
      </c>
      <c r="D150" s="75" t="s">
        <v>356</v>
      </c>
      <c r="E150" s="254"/>
      <c r="F150" s="366"/>
      <c r="G150" s="83"/>
      <c r="H150" s="363"/>
      <c r="I150" s="365"/>
      <c r="L150" s="79"/>
    </row>
    <row r="151" spans="1:12" ht="3" customHeight="1">
      <c r="A151" s="48"/>
      <c r="C151" s="55"/>
      <c r="F151" s="148"/>
      <c r="H151" s="124"/>
      <c r="I151" s="47"/>
      <c r="L151" s="79"/>
    </row>
    <row r="152" spans="1:12" ht="12.75" customHeight="1">
      <c r="A152" s="48" t="s">
        <v>251</v>
      </c>
      <c r="B152" s="22">
        <v>2003</v>
      </c>
      <c r="C152" s="55" t="s">
        <v>725</v>
      </c>
      <c r="D152" s="10" t="s">
        <v>314</v>
      </c>
      <c r="E152" s="242"/>
      <c r="F152" s="352">
        <v>0</v>
      </c>
      <c r="G152" s="357" t="s">
        <v>10</v>
      </c>
      <c r="H152" s="362" t="s">
        <v>71</v>
      </c>
      <c r="I152" s="364" t="s">
        <v>71</v>
      </c>
      <c r="L152" s="79"/>
    </row>
    <row r="153" spans="1:12" ht="12.75" customHeight="1">
      <c r="A153" s="48" t="s">
        <v>251</v>
      </c>
      <c r="B153" s="22">
        <v>2003</v>
      </c>
      <c r="C153" s="55" t="s">
        <v>25</v>
      </c>
      <c r="D153" s="10" t="s">
        <v>335</v>
      </c>
      <c r="E153" s="243"/>
      <c r="F153" s="352"/>
      <c r="G153" s="357"/>
      <c r="H153" s="363"/>
      <c r="I153" s="365" t="e">
        <f>$H153/$F153</f>
        <v>#DIV/0!</v>
      </c>
      <c r="L153" s="79"/>
    </row>
    <row r="154" spans="1:12" ht="12.75" customHeight="1">
      <c r="A154" s="48" t="s">
        <v>251</v>
      </c>
      <c r="B154" s="22">
        <v>2003</v>
      </c>
      <c r="C154" s="55" t="s">
        <v>47</v>
      </c>
      <c r="D154" s="10" t="s">
        <v>352</v>
      </c>
      <c r="E154" s="243"/>
      <c r="F154" s="352"/>
      <c r="G154" s="357"/>
      <c r="H154" s="363"/>
      <c r="I154" s="365" t="e">
        <f>$H154/$F154</f>
        <v>#DIV/0!</v>
      </c>
      <c r="L154" s="79"/>
    </row>
    <row r="155" spans="1:12" ht="12.75" customHeight="1">
      <c r="A155" s="48" t="s">
        <v>251</v>
      </c>
      <c r="B155" s="22">
        <v>2003</v>
      </c>
      <c r="C155" s="55" t="s">
        <v>478</v>
      </c>
      <c r="D155" s="10" t="s">
        <v>327</v>
      </c>
      <c r="E155" s="244"/>
      <c r="F155" s="352"/>
      <c r="G155" s="357"/>
      <c r="H155" s="363"/>
      <c r="I155" s="365" t="e">
        <f>$H155/$F155</f>
        <v>#DIV/0!</v>
      </c>
      <c r="L155" s="79"/>
    </row>
    <row r="156" spans="1:12" ht="12.75" customHeight="1">
      <c r="A156" s="48"/>
      <c r="C156" s="48"/>
      <c r="D156" s="8"/>
      <c r="E156" s="8"/>
      <c r="F156" s="47"/>
      <c r="H156" s="124"/>
      <c r="I156" s="29"/>
      <c r="L156" s="79"/>
    </row>
    <row r="157" spans="1:12" ht="12.75" customHeight="1">
      <c r="A157" s="48" t="s">
        <v>251</v>
      </c>
      <c r="B157" s="22">
        <v>2004</v>
      </c>
      <c r="C157" s="55" t="s">
        <v>14</v>
      </c>
      <c r="D157" s="10" t="s">
        <v>345</v>
      </c>
      <c r="E157" s="252"/>
      <c r="F157" s="353">
        <v>1</v>
      </c>
      <c r="G157" s="100"/>
      <c r="H157" s="354">
        <f>268/0.80537</f>
        <v>332.766306169835</v>
      </c>
      <c r="I157" s="349">
        <f>$H157/$F157</f>
        <v>332.766306169835</v>
      </c>
      <c r="L157" s="79"/>
    </row>
    <row r="158" spans="1:12" ht="12.75" customHeight="1">
      <c r="A158" s="48" t="s">
        <v>251</v>
      </c>
      <c r="B158" s="22">
        <v>2004</v>
      </c>
      <c r="C158" s="55" t="s">
        <v>467</v>
      </c>
      <c r="D158" s="10" t="s">
        <v>315</v>
      </c>
      <c r="E158" s="253"/>
      <c r="F158" s="353"/>
      <c r="G158" s="100"/>
      <c r="H158" s="355">
        <f>211.761</f>
        <v>211.761</v>
      </c>
      <c r="I158" s="350" t="e">
        <f>$H158/$F158</f>
        <v>#DIV/0!</v>
      </c>
      <c r="L158" s="79"/>
    </row>
    <row r="159" spans="1:12" ht="12.75" customHeight="1">
      <c r="A159" s="48" t="s">
        <v>251</v>
      </c>
      <c r="B159" s="22">
        <v>2004</v>
      </c>
      <c r="C159" s="55" t="s">
        <v>467</v>
      </c>
      <c r="D159" s="10" t="s">
        <v>354</v>
      </c>
      <c r="E159" s="254"/>
      <c r="F159" s="353"/>
      <c r="G159" s="100"/>
      <c r="H159" s="355">
        <f>211.761</f>
        <v>211.761</v>
      </c>
      <c r="I159" s="350" t="e">
        <f>$H159/$F159</f>
        <v>#DIV/0!</v>
      </c>
      <c r="L159" s="79"/>
    </row>
    <row r="160" spans="1:12" ht="3" customHeight="1">
      <c r="A160" s="48"/>
      <c r="C160" s="55"/>
      <c r="F160" s="148"/>
      <c r="H160" s="124"/>
      <c r="I160" s="47"/>
      <c r="L160" s="79"/>
    </row>
    <row r="161" spans="1:12" ht="12.75" customHeight="1">
      <c r="A161" s="48" t="s">
        <v>251</v>
      </c>
      <c r="B161" s="22">
        <v>2004</v>
      </c>
      <c r="C161" s="55" t="s">
        <v>720</v>
      </c>
      <c r="D161" s="75" t="s">
        <v>373</v>
      </c>
      <c r="E161" s="252"/>
      <c r="F161" s="366">
        <v>1</v>
      </c>
      <c r="G161" s="83"/>
      <c r="H161" s="363">
        <f>258/0.80537</f>
        <v>320.34965295454265</v>
      </c>
      <c r="I161" s="365">
        <f>$H161/$F161</f>
        <v>320.34965295454265</v>
      </c>
      <c r="L161" s="79"/>
    </row>
    <row r="162" spans="1:12" ht="12.75" customHeight="1">
      <c r="A162" s="48" t="s">
        <v>251</v>
      </c>
      <c r="B162" s="22">
        <v>2004</v>
      </c>
      <c r="C162" s="55" t="s">
        <v>479</v>
      </c>
      <c r="D162" s="75" t="s">
        <v>374</v>
      </c>
      <c r="E162" s="253"/>
      <c r="F162" s="366"/>
      <c r="G162" s="83"/>
      <c r="H162" s="363"/>
      <c r="I162" s="365"/>
      <c r="L162" s="79"/>
    </row>
    <row r="163" spans="1:12" ht="12.75" customHeight="1">
      <c r="A163" s="48" t="s">
        <v>251</v>
      </c>
      <c r="B163" s="22">
        <v>2004</v>
      </c>
      <c r="C163" s="55" t="s">
        <v>15</v>
      </c>
      <c r="D163" s="75" t="s">
        <v>312</v>
      </c>
      <c r="E163" s="253"/>
      <c r="F163" s="366"/>
      <c r="G163" s="83"/>
      <c r="H163" s="363"/>
      <c r="I163" s="365"/>
      <c r="L163" s="79"/>
    </row>
    <row r="164" spans="1:12" ht="12.75" customHeight="1">
      <c r="A164" s="48" t="s">
        <v>251</v>
      </c>
      <c r="B164" s="22">
        <v>2004</v>
      </c>
      <c r="C164" s="55" t="s">
        <v>467</v>
      </c>
      <c r="D164" s="75" t="s">
        <v>319</v>
      </c>
      <c r="E164" s="253"/>
      <c r="F164" s="366"/>
      <c r="G164" s="83"/>
      <c r="H164" s="363"/>
      <c r="I164" s="365"/>
      <c r="L164" s="79"/>
    </row>
    <row r="165" spans="1:12" ht="12.75" customHeight="1">
      <c r="A165" s="48" t="s">
        <v>251</v>
      </c>
      <c r="B165" s="22">
        <v>2004</v>
      </c>
      <c r="C165" s="55" t="s">
        <v>467</v>
      </c>
      <c r="D165" s="75" t="s">
        <v>356</v>
      </c>
      <c r="E165" s="254"/>
      <c r="F165" s="366"/>
      <c r="G165" s="83"/>
      <c r="H165" s="363"/>
      <c r="I165" s="365"/>
      <c r="L165" s="79"/>
    </row>
    <row r="166" spans="1:12" ht="3" customHeight="1">
      <c r="A166" s="48"/>
      <c r="C166" s="55"/>
      <c r="F166" s="148"/>
      <c r="H166" s="124"/>
      <c r="I166" s="47"/>
      <c r="L166" s="79"/>
    </row>
    <row r="167" spans="1:12" ht="12.75" customHeight="1">
      <c r="A167" s="48" t="s">
        <v>251</v>
      </c>
      <c r="B167" s="22">
        <v>2004</v>
      </c>
      <c r="C167" s="55" t="s">
        <v>282</v>
      </c>
      <c r="D167" s="10" t="s">
        <v>365</v>
      </c>
      <c r="E167" s="242"/>
      <c r="F167" s="345">
        <v>0</v>
      </c>
      <c r="G167" s="368" t="s">
        <v>10</v>
      </c>
      <c r="H167" s="354" t="s">
        <v>71</v>
      </c>
      <c r="I167" s="349" t="s">
        <v>71</v>
      </c>
      <c r="L167" s="79"/>
    </row>
    <row r="168" spans="1:12" ht="12.75" customHeight="1">
      <c r="A168" s="48" t="s">
        <v>251</v>
      </c>
      <c r="B168" s="22">
        <v>2004</v>
      </c>
      <c r="C168" s="55" t="s">
        <v>280</v>
      </c>
      <c r="D168" s="10" t="s">
        <v>378</v>
      </c>
      <c r="E168" s="243"/>
      <c r="F168" s="367"/>
      <c r="G168" s="368"/>
      <c r="H168" s="369"/>
      <c r="I168" s="370" t="e">
        <f>$H168/$F168</f>
        <v>#DIV/0!</v>
      </c>
      <c r="L168" s="79"/>
    </row>
    <row r="169" spans="1:12" ht="12.75" customHeight="1">
      <c r="A169" s="48" t="s">
        <v>251</v>
      </c>
      <c r="B169" s="22">
        <v>2004</v>
      </c>
      <c r="C169" s="55" t="s">
        <v>281</v>
      </c>
      <c r="D169" s="10" t="s">
        <v>379</v>
      </c>
      <c r="E169" s="244"/>
      <c r="F169" s="367"/>
      <c r="G169" s="368"/>
      <c r="H169" s="369"/>
      <c r="I169" s="370" t="e">
        <f>$H169/$F169</f>
        <v>#DIV/0!</v>
      </c>
      <c r="L169" s="79"/>
    </row>
    <row r="170" spans="1:12" ht="3" customHeight="1">
      <c r="A170" s="48"/>
      <c r="C170" s="55"/>
      <c r="F170" s="148"/>
      <c r="H170" s="124"/>
      <c r="I170" s="47"/>
      <c r="L170" s="79"/>
    </row>
    <row r="171" spans="1:12" ht="12.75" customHeight="1">
      <c r="A171" s="48" t="s">
        <v>251</v>
      </c>
      <c r="B171" s="22">
        <v>2004</v>
      </c>
      <c r="C171" s="55" t="s">
        <v>725</v>
      </c>
      <c r="D171" s="10" t="s">
        <v>314</v>
      </c>
      <c r="E171" s="242"/>
      <c r="F171" s="352">
        <v>0</v>
      </c>
      <c r="G171" s="357" t="s">
        <v>10</v>
      </c>
      <c r="H171" s="362" t="s">
        <v>71</v>
      </c>
      <c r="I171" s="364" t="s">
        <v>71</v>
      </c>
      <c r="L171" s="79"/>
    </row>
    <row r="172" spans="1:12" ht="12.75" customHeight="1">
      <c r="A172" s="48" t="s">
        <v>251</v>
      </c>
      <c r="B172" s="22">
        <v>2004</v>
      </c>
      <c r="C172" s="55" t="s">
        <v>25</v>
      </c>
      <c r="D172" s="10" t="s">
        <v>335</v>
      </c>
      <c r="E172" s="243"/>
      <c r="F172" s="352"/>
      <c r="G172" s="357"/>
      <c r="H172" s="363"/>
      <c r="I172" s="365" t="e">
        <f>$H172/$F172</f>
        <v>#DIV/0!</v>
      </c>
      <c r="L172" s="79"/>
    </row>
    <row r="173" spans="1:12" ht="12.75" customHeight="1">
      <c r="A173" s="48" t="s">
        <v>251</v>
      </c>
      <c r="B173" s="22">
        <v>2004</v>
      </c>
      <c r="C173" s="55" t="s">
        <v>47</v>
      </c>
      <c r="D173" s="10" t="s">
        <v>352</v>
      </c>
      <c r="E173" s="243"/>
      <c r="F173" s="352"/>
      <c r="G173" s="357"/>
      <c r="H173" s="363"/>
      <c r="I173" s="365" t="e">
        <f>$H173/$F173</f>
        <v>#DIV/0!</v>
      </c>
      <c r="L173" s="79"/>
    </row>
    <row r="174" spans="1:12" ht="12.75" customHeight="1">
      <c r="A174" s="48" t="s">
        <v>251</v>
      </c>
      <c r="B174" s="22">
        <v>2004</v>
      </c>
      <c r="C174" s="55" t="s">
        <v>478</v>
      </c>
      <c r="D174" s="10" t="s">
        <v>327</v>
      </c>
      <c r="E174" s="244"/>
      <c r="F174" s="352"/>
      <c r="G174" s="357"/>
      <c r="H174" s="363"/>
      <c r="I174" s="365" t="e">
        <f>$H174/$F174</f>
        <v>#DIV/0!</v>
      </c>
      <c r="L174" s="79"/>
    </row>
    <row r="175" spans="1:12" ht="3" customHeight="1">
      <c r="A175" s="48"/>
      <c r="C175" s="55"/>
      <c r="F175" s="148"/>
      <c r="G175" s="261"/>
      <c r="H175" s="135"/>
      <c r="I175" s="47"/>
      <c r="L175" s="79"/>
    </row>
    <row r="176" spans="1:12" ht="12.75" customHeight="1">
      <c r="A176" s="48" t="s">
        <v>251</v>
      </c>
      <c r="B176" s="22">
        <v>2004</v>
      </c>
      <c r="C176" s="48"/>
      <c r="D176" s="8" t="s">
        <v>482</v>
      </c>
      <c r="E176" s="8"/>
      <c r="F176" s="47">
        <v>124</v>
      </c>
      <c r="H176" s="135">
        <f>56113/0.80537</f>
        <v>69673.56618696995</v>
      </c>
      <c r="I176" s="29">
        <f>$H176/$F176</f>
        <v>561.8835982820158</v>
      </c>
      <c r="L176" s="79"/>
    </row>
    <row r="177" spans="1:12" s="24" customFormat="1" ht="12.75" customHeight="1">
      <c r="A177" s="25"/>
      <c r="B177" s="22"/>
      <c r="C177" s="63"/>
      <c r="D177" s="75"/>
      <c r="E177" s="75"/>
      <c r="F177" s="148"/>
      <c r="G177" s="83"/>
      <c r="H177" s="135"/>
      <c r="I177" s="47"/>
      <c r="L177" s="83"/>
    </row>
    <row r="178" spans="1:12" s="24" customFormat="1" ht="12.75" customHeight="1">
      <c r="A178" s="25" t="s">
        <v>13</v>
      </c>
      <c r="B178" s="22">
        <v>2003</v>
      </c>
      <c r="C178" s="55" t="s">
        <v>720</v>
      </c>
      <c r="D178" s="75" t="s">
        <v>373</v>
      </c>
      <c r="E178" s="252"/>
      <c r="F178" s="366">
        <v>39</v>
      </c>
      <c r="G178" s="83"/>
      <c r="H178" s="363">
        <v>19102</v>
      </c>
      <c r="I178" s="365">
        <f>$H178/$F178</f>
        <v>489.79487179487177</v>
      </c>
      <c r="L178" s="83"/>
    </row>
    <row r="179" spans="1:12" s="24" customFormat="1" ht="12.75" customHeight="1">
      <c r="A179" s="25" t="s">
        <v>13</v>
      </c>
      <c r="B179" s="22">
        <v>2003</v>
      </c>
      <c r="C179" s="55" t="s">
        <v>479</v>
      </c>
      <c r="D179" s="75" t="s">
        <v>374</v>
      </c>
      <c r="E179" s="253"/>
      <c r="F179" s="366"/>
      <c r="G179" s="83"/>
      <c r="H179" s="363"/>
      <c r="I179" s="365"/>
      <c r="L179" s="83"/>
    </row>
    <row r="180" spans="1:12" s="24" customFormat="1" ht="12.75" customHeight="1">
      <c r="A180" s="25" t="s">
        <v>13</v>
      </c>
      <c r="B180" s="22">
        <v>2003</v>
      </c>
      <c r="C180" s="55" t="s">
        <v>15</v>
      </c>
      <c r="D180" s="75" t="s">
        <v>312</v>
      </c>
      <c r="E180" s="253"/>
      <c r="F180" s="366"/>
      <c r="G180" s="83"/>
      <c r="H180" s="363"/>
      <c r="I180" s="365"/>
      <c r="L180" s="83"/>
    </row>
    <row r="181" spans="1:12" s="24" customFormat="1" ht="12.75" customHeight="1">
      <c r="A181" s="25" t="s">
        <v>13</v>
      </c>
      <c r="B181" s="22">
        <v>2003</v>
      </c>
      <c r="C181" s="55" t="s">
        <v>467</v>
      </c>
      <c r="D181" s="75" t="s">
        <v>319</v>
      </c>
      <c r="E181" s="253"/>
      <c r="F181" s="366"/>
      <c r="G181" s="83"/>
      <c r="H181" s="363"/>
      <c r="I181" s="365"/>
      <c r="L181" s="83"/>
    </row>
    <row r="182" spans="1:12" s="24" customFormat="1" ht="12.75" customHeight="1">
      <c r="A182" s="25" t="s">
        <v>13</v>
      </c>
      <c r="B182" s="22">
        <v>2003</v>
      </c>
      <c r="C182" s="55" t="s">
        <v>467</v>
      </c>
      <c r="D182" s="75" t="s">
        <v>356</v>
      </c>
      <c r="E182" s="254"/>
      <c r="F182" s="366"/>
      <c r="G182" s="83"/>
      <c r="H182" s="363"/>
      <c r="I182" s="365"/>
      <c r="L182" s="83"/>
    </row>
    <row r="183" spans="1:12" s="24" customFormat="1" ht="3" customHeight="1">
      <c r="A183" s="25"/>
      <c r="B183" s="22"/>
      <c r="C183" s="63"/>
      <c r="D183" s="75"/>
      <c r="E183" s="75"/>
      <c r="F183" s="76"/>
      <c r="G183" s="83"/>
      <c r="H183" s="135"/>
      <c r="I183" s="47"/>
      <c r="L183" s="83"/>
    </row>
    <row r="184" spans="1:12" s="24" customFormat="1" ht="12.75" customHeight="1">
      <c r="A184" s="25" t="s">
        <v>13</v>
      </c>
      <c r="B184" s="22">
        <v>2003</v>
      </c>
      <c r="C184" s="55" t="s">
        <v>14</v>
      </c>
      <c r="D184" s="75" t="s">
        <v>345</v>
      </c>
      <c r="E184" s="252"/>
      <c r="F184" s="366">
        <v>10</v>
      </c>
      <c r="G184" s="83"/>
      <c r="H184" s="363">
        <v>5169</v>
      </c>
      <c r="I184" s="365">
        <f>$H184/$F184</f>
        <v>516.9</v>
      </c>
      <c r="L184" s="83"/>
    </row>
    <row r="185" spans="1:12" s="24" customFormat="1" ht="12.75" customHeight="1">
      <c r="A185" s="25" t="s">
        <v>13</v>
      </c>
      <c r="B185" s="22">
        <v>2003</v>
      </c>
      <c r="C185" s="55" t="s">
        <v>467</v>
      </c>
      <c r="D185" s="75" t="s">
        <v>315</v>
      </c>
      <c r="E185" s="253"/>
      <c r="F185" s="366"/>
      <c r="G185" s="83"/>
      <c r="H185" s="363"/>
      <c r="I185" s="365"/>
      <c r="L185" s="83"/>
    </row>
    <row r="186" spans="1:12" s="24" customFormat="1" ht="12.75" customHeight="1">
      <c r="A186" s="25" t="s">
        <v>13</v>
      </c>
      <c r="B186" s="22">
        <v>2003</v>
      </c>
      <c r="C186" s="55" t="s">
        <v>467</v>
      </c>
      <c r="D186" s="75" t="s">
        <v>354</v>
      </c>
      <c r="E186" s="254"/>
      <c r="F186" s="366"/>
      <c r="G186" s="83"/>
      <c r="H186" s="363"/>
      <c r="I186" s="365"/>
      <c r="L186" s="83"/>
    </row>
    <row r="187" spans="1:12" s="24" customFormat="1" ht="3" customHeight="1">
      <c r="A187" s="25"/>
      <c r="B187" s="22"/>
      <c r="C187" s="55"/>
      <c r="D187" s="75"/>
      <c r="E187" s="75"/>
      <c r="F187" s="76"/>
      <c r="G187" s="83"/>
      <c r="H187" s="135"/>
      <c r="I187" s="47"/>
      <c r="L187" s="83"/>
    </row>
    <row r="188" spans="1:12" s="24" customFormat="1" ht="12.75" customHeight="1">
      <c r="A188" s="25" t="s">
        <v>13</v>
      </c>
      <c r="B188" s="22">
        <v>2003</v>
      </c>
      <c r="C188" s="28" t="s">
        <v>5</v>
      </c>
      <c r="D188" s="75" t="s">
        <v>362</v>
      </c>
      <c r="E188" s="75"/>
      <c r="F188" s="76">
        <v>2</v>
      </c>
      <c r="G188" s="83"/>
      <c r="H188" s="135">
        <v>3811</v>
      </c>
      <c r="I188" s="47">
        <f>$H188/$F188</f>
        <v>1905.5</v>
      </c>
      <c r="L188" s="83"/>
    </row>
    <row r="189" spans="1:12" s="24" customFormat="1" ht="3" customHeight="1">
      <c r="A189" s="25"/>
      <c r="B189" s="22"/>
      <c r="C189" s="28"/>
      <c r="D189" s="75"/>
      <c r="E189" s="75"/>
      <c r="F189" s="76"/>
      <c r="G189" s="83"/>
      <c r="H189" s="135"/>
      <c r="I189" s="47"/>
      <c r="L189" s="83"/>
    </row>
    <row r="190" spans="1:12" s="24" customFormat="1" ht="12.75" customHeight="1">
      <c r="A190" s="25" t="s">
        <v>13</v>
      </c>
      <c r="B190" s="22">
        <v>2003</v>
      </c>
      <c r="C190" s="63" t="s">
        <v>468</v>
      </c>
      <c r="D190" s="265" t="s">
        <v>595</v>
      </c>
      <c r="E190" s="252"/>
      <c r="F190" s="366">
        <v>1</v>
      </c>
      <c r="G190" s="83"/>
      <c r="H190" s="363">
        <v>822</v>
      </c>
      <c r="I190" s="365">
        <f>$H190/$F190</f>
        <v>822</v>
      </c>
      <c r="L190" s="83"/>
    </row>
    <row r="191" spans="1:12" s="24" customFormat="1" ht="12.75" customHeight="1">
      <c r="A191" s="25" t="s">
        <v>13</v>
      </c>
      <c r="B191" s="22">
        <v>2003</v>
      </c>
      <c r="C191" s="55" t="s">
        <v>725</v>
      </c>
      <c r="D191" s="75" t="s">
        <v>314</v>
      </c>
      <c r="E191" s="253"/>
      <c r="F191" s="366"/>
      <c r="G191" s="83"/>
      <c r="H191" s="363"/>
      <c r="I191" s="365" t="e">
        <f>$H191/$F191</f>
        <v>#DIV/0!</v>
      </c>
      <c r="L191" s="83"/>
    </row>
    <row r="192" spans="1:12" s="24" customFormat="1" ht="12.75" customHeight="1">
      <c r="A192" s="25" t="s">
        <v>13</v>
      </c>
      <c r="B192" s="22">
        <v>2003</v>
      </c>
      <c r="C192" s="55" t="s">
        <v>47</v>
      </c>
      <c r="D192" s="75" t="s">
        <v>352</v>
      </c>
      <c r="E192" s="253"/>
      <c r="F192" s="366"/>
      <c r="G192" s="83"/>
      <c r="H192" s="363"/>
      <c r="I192" s="365" t="e">
        <f>$H192/$F192</f>
        <v>#DIV/0!</v>
      </c>
      <c r="L192" s="83"/>
    </row>
    <row r="193" spans="1:12" s="24" customFormat="1" ht="12.75" customHeight="1">
      <c r="A193" s="25" t="s">
        <v>13</v>
      </c>
      <c r="B193" s="22">
        <v>2003</v>
      </c>
      <c r="C193" s="55" t="s">
        <v>478</v>
      </c>
      <c r="D193" s="75" t="s">
        <v>327</v>
      </c>
      <c r="E193" s="254"/>
      <c r="F193" s="366"/>
      <c r="G193" s="83"/>
      <c r="H193" s="363"/>
      <c r="I193" s="365" t="e">
        <f>$H193/$F193</f>
        <v>#DIV/0!</v>
      </c>
      <c r="L193" s="83"/>
    </row>
    <row r="194" spans="1:12" s="24" customFormat="1" ht="3" customHeight="1">
      <c r="A194" s="25"/>
      <c r="B194" s="22"/>
      <c r="C194" s="63"/>
      <c r="D194" s="75"/>
      <c r="E194" s="75"/>
      <c r="F194" s="76"/>
      <c r="G194" s="83"/>
      <c r="H194" s="135"/>
      <c r="I194" s="47"/>
      <c r="L194" s="83"/>
    </row>
    <row r="195" spans="1:12" s="24" customFormat="1" ht="12.75" customHeight="1">
      <c r="A195" s="25" t="s">
        <v>13</v>
      </c>
      <c r="B195" s="22">
        <v>2003</v>
      </c>
      <c r="C195" s="63" t="s">
        <v>446</v>
      </c>
      <c r="D195" s="75" t="s">
        <v>380</v>
      </c>
      <c r="E195" s="252"/>
      <c r="F195" s="366">
        <v>1</v>
      </c>
      <c r="G195" s="83"/>
      <c r="H195" s="363">
        <v>3037</v>
      </c>
      <c r="I195" s="365">
        <f>$H195/$F195</f>
        <v>3037</v>
      </c>
      <c r="L195" s="83"/>
    </row>
    <row r="196" spans="1:12" s="24" customFormat="1" ht="12.75" customHeight="1">
      <c r="A196" s="25" t="s">
        <v>13</v>
      </c>
      <c r="B196" s="22">
        <v>2003</v>
      </c>
      <c r="C196" s="63" t="s">
        <v>727</v>
      </c>
      <c r="D196" s="75" t="s">
        <v>381</v>
      </c>
      <c r="E196" s="254"/>
      <c r="F196" s="366"/>
      <c r="G196" s="83"/>
      <c r="H196" s="363"/>
      <c r="I196" s="365" t="e">
        <f>$H196/$F196</f>
        <v>#DIV/0!</v>
      </c>
      <c r="L196" s="83"/>
    </row>
    <row r="197" spans="1:12" s="24" customFormat="1" ht="3" customHeight="1">
      <c r="A197" s="25"/>
      <c r="B197" s="22"/>
      <c r="C197" s="63"/>
      <c r="D197" s="75"/>
      <c r="E197" s="75"/>
      <c r="F197" s="76"/>
      <c r="G197" s="83"/>
      <c r="H197" s="135"/>
      <c r="I197" s="47"/>
      <c r="L197" s="83"/>
    </row>
    <row r="198" spans="1:12" s="24" customFormat="1" ht="12.75" customHeight="1">
      <c r="A198" s="25" t="s">
        <v>13</v>
      </c>
      <c r="B198" s="22">
        <v>2003</v>
      </c>
      <c r="C198" s="63"/>
      <c r="D198" s="75" t="s">
        <v>482</v>
      </c>
      <c r="E198" s="75"/>
      <c r="F198" s="76">
        <v>437</v>
      </c>
      <c r="G198" s="83"/>
      <c r="H198" s="135">
        <v>215692</v>
      </c>
      <c r="I198" s="47">
        <f>$H198/$F198</f>
        <v>493.57437070938215</v>
      </c>
      <c r="L198" s="83"/>
    </row>
    <row r="199" spans="1:12" s="24" customFormat="1" ht="12.75" customHeight="1">
      <c r="A199" s="180"/>
      <c r="B199" s="166"/>
      <c r="C199" s="210"/>
      <c r="D199" s="180"/>
      <c r="E199" s="180"/>
      <c r="F199" s="211"/>
      <c r="G199" s="196"/>
      <c r="H199" s="200"/>
      <c r="I199" s="198"/>
      <c r="L199" s="83"/>
    </row>
    <row r="200" spans="1:12" s="24" customFormat="1" ht="3" customHeight="1">
      <c r="A200" s="180"/>
      <c r="B200" s="166"/>
      <c r="C200" s="210"/>
      <c r="D200" s="180"/>
      <c r="E200" s="180"/>
      <c r="F200" s="211"/>
      <c r="G200" s="196"/>
      <c r="H200" s="200"/>
      <c r="I200" s="198"/>
      <c r="L200" s="83"/>
    </row>
    <row r="201" spans="1:12" s="24" customFormat="1" ht="12.75" customHeight="1">
      <c r="A201" s="25" t="s">
        <v>13</v>
      </c>
      <c r="B201" s="22">
        <v>2004</v>
      </c>
      <c r="C201" s="55" t="s">
        <v>720</v>
      </c>
      <c r="D201" s="75" t="s">
        <v>373</v>
      </c>
      <c r="E201" s="252"/>
      <c r="F201" s="366">
        <v>35</v>
      </c>
      <c r="G201" s="83"/>
      <c r="H201" s="363">
        <v>202151</v>
      </c>
      <c r="I201" s="365">
        <f>$H201/$F201/10</f>
        <v>577.5742857142857</v>
      </c>
      <c r="L201" s="83"/>
    </row>
    <row r="202" spans="1:12" s="24" customFormat="1" ht="12.75" customHeight="1">
      <c r="A202" s="25" t="s">
        <v>13</v>
      </c>
      <c r="B202" s="22">
        <v>2004</v>
      </c>
      <c r="C202" s="55" t="s">
        <v>479</v>
      </c>
      <c r="D202" s="75" t="s">
        <v>374</v>
      </c>
      <c r="E202" s="253"/>
      <c r="F202" s="366"/>
      <c r="G202" s="83"/>
      <c r="H202" s="363"/>
      <c r="I202" s="365" t="e">
        <f>$H202/$F202</f>
        <v>#DIV/0!</v>
      </c>
      <c r="L202" s="83"/>
    </row>
    <row r="203" spans="1:12" s="24" customFormat="1" ht="12.75" customHeight="1">
      <c r="A203" s="25" t="s">
        <v>13</v>
      </c>
      <c r="B203" s="22">
        <v>2004</v>
      </c>
      <c r="C203" s="55" t="s">
        <v>15</v>
      </c>
      <c r="D203" s="75" t="s">
        <v>312</v>
      </c>
      <c r="E203" s="253"/>
      <c r="F203" s="366"/>
      <c r="G203" s="83"/>
      <c r="H203" s="363"/>
      <c r="I203" s="365" t="e">
        <f>$H203/$F203</f>
        <v>#DIV/0!</v>
      </c>
      <c r="L203" s="83"/>
    </row>
    <row r="204" spans="1:12" s="24" customFormat="1" ht="12.75" customHeight="1">
      <c r="A204" s="25" t="s">
        <v>13</v>
      </c>
      <c r="B204" s="22">
        <v>2004</v>
      </c>
      <c r="C204" s="55" t="s">
        <v>719</v>
      </c>
      <c r="D204" s="75" t="s">
        <v>319</v>
      </c>
      <c r="E204" s="253"/>
      <c r="F204" s="366"/>
      <c r="G204" s="83"/>
      <c r="H204" s="363"/>
      <c r="I204" s="365" t="e">
        <f>$H204/$F204</f>
        <v>#DIV/0!</v>
      </c>
      <c r="L204" s="83"/>
    </row>
    <row r="205" spans="1:12" s="24" customFormat="1" ht="12.75" customHeight="1">
      <c r="A205" s="25" t="s">
        <v>13</v>
      </c>
      <c r="B205" s="22">
        <v>2004</v>
      </c>
      <c r="C205" s="55" t="s">
        <v>467</v>
      </c>
      <c r="D205" s="75" t="s">
        <v>356</v>
      </c>
      <c r="E205" s="254"/>
      <c r="F205" s="366"/>
      <c r="G205" s="83"/>
      <c r="H205" s="363"/>
      <c r="I205" s="365" t="e">
        <f>$H205/$F205</f>
        <v>#DIV/0!</v>
      </c>
      <c r="L205" s="83"/>
    </row>
    <row r="206" spans="1:12" s="24" customFormat="1" ht="3" customHeight="1">
      <c r="A206" s="25"/>
      <c r="B206" s="22"/>
      <c r="C206" s="63"/>
      <c r="D206" s="75"/>
      <c r="E206" s="75"/>
      <c r="F206" s="76"/>
      <c r="G206" s="83"/>
      <c r="H206" s="135"/>
      <c r="I206" s="47"/>
      <c r="L206" s="83"/>
    </row>
    <row r="207" spans="1:12" s="24" customFormat="1" ht="12.75" customHeight="1">
      <c r="A207" s="25" t="s">
        <v>13</v>
      </c>
      <c r="B207" s="22">
        <v>2004</v>
      </c>
      <c r="C207" s="55" t="s">
        <v>14</v>
      </c>
      <c r="D207" s="75" t="s">
        <v>345</v>
      </c>
      <c r="E207" s="252"/>
      <c r="F207" s="366">
        <v>6</v>
      </c>
      <c r="G207" s="83"/>
      <c r="H207" s="363">
        <v>3257</v>
      </c>
      <c r="I207" s="365">
        <f aca="true" t="shared" si="4" ref="I207:I216">$H207/$F207</f>
        <v>542.8333333333334</v>
      </c>
      <c r="L207" s="83"/>
    </row>
    <row r="208" spans="1:12" s="24" customFormat="1" ht="12.75" customHeight="1">
      <c r="A208" s="25" t="s">
        <v>13</v>
      </c>
      <c r="B208" s="22">
        <v>2004</v>
      </c>
      <c r="C208" s="55" t="s">
        <v>467</v>
      </c>
      <c r="D208" s="75" t="s">
        <v>315</v>
      </c>
      <c r="E208" s="253"/>
      <c r="F208" s="366"/>
      <c r="G208" s="83"/>
      <c r="H208" s="363"/>
      <c r="I208" s="365" t="e">
        <f t="shared" si="4"/>
        <v>#DIV/0!</v>
      </c>
      <c r="L208" s="83"/>
    </row>
    <row r="209" spans="1:12" s="24" customFormat="1" ht="12.75" customHeight="1">
      <c r="A209" s="25" t="s">
        <v>13</v>
      </c>
      <c r="B209" s="22">
        <v>2004</v>
      </c>
      <c r="C209" s="55" t="s">
        <v>467</v>
      </c>
      <c r="D209" s="75" t="s">
        <v>354</v>
      </c>
      <c r="E209" s="254"/>
      <c r="F209" s="366"/>
      <c r="G209" s="83"/>
      <c r="H209" s="363"/>
      <c r="I209" s="365" t="e">
        <f t="shared" si="4"/>
        <v>#DIV/0!</v>
      </c>
      <c r="L209" s="83"/>
    </row>
    <row r="210" spans="1:12" s="24" customFormat="1" ht="3" customHeight="1">
      <c r="A210" s="25"/>
      <c r="B210" s="22"/>
      <c r="C210" s="55"/>
      <c r="D210" s="75"/>
      <c r="E210" s="75"/>
      <c r="F210" s="76"/>
      <c r="G210" s="83"/>
      <c r="H210" s="135"/>
      <c r="I210" s="47"/>
      <c r="L210" s="83"/>
    </row>
    <row r="211" spans="1:12" s="24" customFormat="1" ht="12.75" customHeight="1">
      <c r="A211" s="25" t="s">
        <v>13</v>
      </c>
      <c r="B211" s="22">
        <v>2004</v>
      </c>
      <c r="C211" s="28" t="s">
        <v>5</v>
      </c>
      <c r="D211" s="75" t="s">
        <v>362</v>
      </c>
      <c r="E211" s="75"/>
      <c r="F211" s="76">
        <v>2</v>
      </c>
      <c r="G211" s="83"/>
      <c r="H211" s="135">
        <v>3140</v>
      </c>
      <c r="I211" s="47">
        <f t="shared" si="4"/>
        <v>1570</v>
      </c>
      <c r="L211" s="83"/>
    </row>
    <row r="212" spans="1:12" s="24" customFormat="1" ht="3" customHeight="1">
      <c r="A212" s="25"/>
      <c r="B212" s="22"/>
      <c r="C212" s="28"/>
      <c r="D212" s="75"/>
      <c r="E212" s="75"/>
      <c r="F212" s="76"/>
      <c r="G212" s="83"/>
      <c r="H212" s="135"/>
      <c r="I212" s="47"/>
      <c r="L212" s="83"/>
    </row>
    <row r="213" spans="1:12" s="24" customFormat="1" ht="12.75" customHeight="1">
      <c r="A213" s="25" t="s">
        <v>13</v>
      </c>
      <c r="B213" s="22">
        <v>2004</v>
      </c>
      <c r="C213" s="63" t="s">
        <v>468</v>
      </c>
      <c r="D213" s="265" t="s">
        <v>595</v>
      </c>
      <c r="E213" s="252"/>
      <c r="F213" s="366">
        <v>1</v>
      </c>
      <c r="G213" s="83"/>
      <c r="H213" s="363">
        <v>702</v>
      </c>
      <c r="I213" s="365">
        <f t="shared" si="4"/>
        <v>702</v>
      </c>
      <c r="L213" s="83"/>
    </row>
    <row r="214" spans="1:12" s="24" customFormat="1" ht="12.75" customHeight="1">
      <c r="A214" s="25" t="s">
        <v>13</v>
      </c>
      <c r="B214" s="22">
        <v>2004</v>
      </c>
      <c r="C214" s="55" t="s">
        <v>725</v>
      </c>
      <c r="D214" s="75" t="s">
        <v>314</v>
      </c>
      <c r="E214" s="253"/>
      <c r="F214" s="366"/>
      <c r="G214" s="83"/>
      <c r="H214" s="363"/>
      <c r="I214" s="365" t="e">
        <f t="shared" si="4"/>
        <v>#DIV/0!</v>
      </c>
      <c r="L214" s="83"/>
    </row>
    <row r="215" spans="1:12" s="24" customFormat="1" ht="12.75" customHeight="1">
      <c r="A215" s="25" t="s">
        <v>13</v>
      </c>
      <c r="B215" s="22">
        <v>2004</v>
      </c>
      <c r="C215" s="55" t="s">
        <v>47</v>
      </c>
      <c r="D215" s="75" t="s">
        <v>352</v>
      </c>
      <c r="E215" s="253"/>
      <c r="F215" s="366"/>
      <c r="G215" s="83"/>
      <c r="H215" s="363"/>
      <c r="I215" s="365" t="e">
        <f t="shared" si="4"/>
        <v>#DIV/0!</v>
      </c>
      <c r="L215" s="83"/>
    </row>
    <row r="216" spans="1:12" s="24" customFormat="1" ht="12.75" customHeight="1">
      <c r="A216" s="25" t="s">
        <v>13</v>
      </c>
      <c r="B216" s="22">
        <v>2004</v>
      </c>
      <c r="C216" s="55" t="s">
        <v>478</v>
      </c>
      <c r="D216" s="75" t="s">
        <v>327</v>
      </c>
      <c r="E216" s="254"/>
      <c r="F216" s="366"/>
      <c r="G216" s="83"/>
      <c r="H216" s="363"/>
      <c r="I216" s="365" t="e">
        <f t="shared" si="4"/>
        <v>#DIV/0!</v>
      </c>
      <c r="L216" s="83"/>
    </row>
    <row r="217" spans="1:12" s="24" customFormat="1" ht="3" customHeight="1">
      <c r="A217" s="25"/>
      <c r="B217" s="22"/>
      <c r="C217" s="63"/>
      <c r="D217" s="75"/>
      <c r="E217" s="75"/>
      <c r="F217" s="76"/>
      <c r="G217" s="83"/>
      <c r="H217" s="135"/>
      <c r="I217" s="47"/>
      <c r="L217" s="83"/>
    </row>
    <row r="218" spans="1:12" s="24" customFormat="1" ht="12.75" customHeight="1">
      <c r="A218" s="25" t="s">
        <v>13</v>
      </c>
      <c r="B218" s="22">
        <v>2004</v>
      </c>
      <c r="C218" s="63" t="s">
        <v>446</v>
      </c>
      <c r="D218" s="75" t="s">
        <v>380</v>
      </c>
      <c r="E218" s="252"/>
      <c r="F218" s="366">
        <v>1</v>
      </c>
      <c r="G218" s="83"/>
      <c r="H218" s="363">
        <v>3669</v>
      </c>
      <c r="I218" s="365">
        <f>$H218/$F218</f>
        <v>3669</v>
      </c>
      <c r="L218" s="83"/>
    </row>
    <row r="219" spans="1:12" s="24" customFormat="1" ht="12.75" customHeight="1">
      <c r="A219" s="25" t="s">
        <v>13</v>
      </c>
      <c r="B219" s="22">
        <v>2004</v>
      </c>
      <c r="C219" s="63" t="s">
        <v>727</v>
      </c>
      <c r="D219" s="75" t="s">
        <v>381</v>
      </c>
      <c r="E219" s="254"/>
      <c r="F219" s="366"/>
      <c r="G219" s="83"/>
      <c r="H219" s="363"/>
      <c r="I219" s="365" t="e">
        <f>$H219/$F219</f>
        <v>#DIV/0!</v>
      </c>
      <c r="L219" s="83"/>
    </row>
    <row r="220" spans="1:12" s="24" customFormat="1" ht="3" customHeight="1">
      <c r="A220" s="25"/>
      <c r="B220" s="22"/>
      <c r="C220" s="63"/>
      <c r="D220" s="75"/>
      <c r="E220" s="75"/>
      <c r="F220" s="76"/>
      <c r="G220" s="83"/>
      <c r="H220" s="135"/>
      <c r="I220" s="47"/>
      <c r="L220" s="83"/>
    </row>
    <row r="221" spans="1:12" s="24" customFormat="1" ht="12.75" customHeight="1">
      <c r="A221" s="25" t="s">
        <v>13</v>
      </c>
      <c r="B221" s="22">
        <v>2004</v>
      </c>
      <c r="C221" s="63"/>
      <c r="D221" s="75" t="s">
        <v>482</v>
      </c>
      <c r="E221" s="75"/>
      <c r="F221" s="76">
        <v>333</v>
      </c>
      <c r="G221" s="83"/>
      <c r="H221" s="135">
        <v>173830</v>
      </c>
      <c r="I221" s="47">
        <f>$H221/$F221</f>
        <v>522.0120120120121</v>
      </c>
      <c r="L221" s="83"/>
    </row>
    <row r="222" spans="1:12" s="24" customFormat="1" ht="12.75" customHeight="1">
      <c r="A222" s="25"/>
      <c r="B222" s="22"/>
      <c r="C222" s="63"/>
      <c r="D222" s="75"/>
      <c r="E222" s="75"/>
      <c r="F222" s="76"/>
      <c r="G222" s="83"/>
      <c r="H222" s="135"/>
      <c r="I222" s="47"/>
      <c r="L222" s="83"/>
    </row>
    <row r="223" spans="1:12" s="24" customFormat="1" ht="12.75" customHeight="1">
      <c r="A223" s="25" t="s">
        <v>256</v>
      </c>
      <c r="B223" s="22">
        <v>2003</v>
      </c>
      <c r="C223" s="65" t="s">
        <v>257</v>
      </c>
      <c r="D223" s="25" t="s">
        <v>42</v>
      </c>
      <c r="E223" s="25"/>
      <c r="F223" s="47">
        <v>2.137</v>
      </c>
      <c r="G223" s="83"/>
      <c r="H223" s="135">
        <f>232.937/0.5823</f>
        <v>400.029194573244</v>
      </c>
      <c r="I223" s="47">
        <f aca="true" t="shared" si="5" ref="I223:I239">$H223/$F223</f>
        <v>187.19194879421806</v>
      </c>
      <c r="L223" s="83"/>
    </row>
    <row r="224" spans="1:12" s="24" customFormat="1" ht="12.75" customHeight="1">
      <c r="A224" s="25" t="s">
        <v>256</v>
      </c>
      <c r="B224" s="22">
        <v>2003</v>
      </c>
      <c r="C224" s="65" t="s">
        <v>260</v>
      </c>
      <c r="D224" s="25"/>
      <c r="E224" s="25"/>
      <c r="F224" s="47">
        <v>1.383</v>
      </c>
      <c r="G224" s="83"/>
      <c r="H224" s="135">
        <f>1624.15/0.5823</f>
        <v>2789.198007899708</v>
      </c>
      <c r="I224" s="47">
        <f t="shared" si="5"/>
        <v>2016.7736861169255</v>
      </c>
      <c r="L224" s="83"/>
    </row>
    <row r="225" spans="1:12" s="24" customFormat="1" ht="12.75" customHeight="1">
      <c r="A225" s="25" t="s">
        <v>256</v>
      </c>
      <c r="B225" s="22">
        <v>2003</v>
      </c>
      <c r="C225" s="65" t="s">
        <v>261</v>
      </c>
      <c r="D225" s="25"/>
      <c r="E225" s="25"/>
      <c r="F225" s="47">
        <v>0.877</v>
      </c>
      <c r="G225" s="83"/>
      <c r="H225" s="135">
        <f>1700.014/0.5823</f>
        <v>2919.4813669929586</v>
      </c>
      <c r="I225" s="47">
        <f t="shared" si="5"/>
        <v>3328.941125419565</v>
      </c>
      <c r="L225" s="83"/>
    </row>
    <row r="226" spans="1:12" s="24" customFormat="1" ht="12.75" customHeight="1">
      <c r="A226" s="25" t="s">
        <v>256</v>
      </c>
      <c r="B226" s="22">
        <v>2003</v>
      </c>
      <c r="C226" s="65" t="s">
        <v>263</v>
      </c>
      <c r="D226" s="25"/>
      <c r="E226" s="25"/>
      <c r="F226" s="47">
        <v>0.399</v>
      </c>
      <c r="G226" s="83" t="s">
        <v>10</v>
      </c>
      <c r="H226" s="135">
        <f>506.49/0.5823</f>
        <v>869.8093766099948</v>
      </c>
      <c r="I226" s="47">
        <f t="shared" si="5"/>
        <v>2179.973374962393</v>
      </c>
      <c r="L226" s="83"/>
    </row>
    <row r="227" spans="1:12" s="24" customFormat="1" ht="12.75" customHeight="1">
      <c r="A227" s="25" t="s">
        <v>256</v>
      </c>
      <c r="B227" s="22">
        <v>2003</v>
      </c>
      <c r="C227" s="65" t="s">
        <v>262</v>
      </c>
      <c r="D227" s="25"/>
      <c r="E227" s="25"/>
      <c r="F227" s="47">
        <v>0.327</v>
      </c>
      <c r="G227" s="83" t="s">
        <v>10</v>
      </c>
      <c r="H227" s="135">
        <f>437.302/0.5823</f>
        <v>750.9908981624592</v>
      </c>
      <c r="I227" s="47">
        <f t="shared" si="5"/>
        <v>2296.608251261343</v>
      </c>
      <c r="L227" s="83"/>
    </row>
    <row r="228" spans="1:12" s="24" customFormat="1" ht="12.75" customHeight="1">
      <c r="A228" s="25" t="s">
        <v>256</v>
      </c>
      <c r="B228" s="22">
        <v>2003</v>
      </c>
      <c r="C228" s="65" t="s">
        <v>695</v>
      </c>
      <c r="D228" s="25"/>
      <c r="E228" s="25"/>
      <c r="F228" s="47">
        <v>0.197</v>
      </c>
      <c r="G228" s="83" t="s">
        <v>10</v>
      </c>
      <c r="H228" s="135">
        <f>205.531/0.5823</f>
        <v>352.9641078481882</v>
      </c>
      <c r="I228" s="47">
        <f t="shared" si="5"/>
        <v>1791.695978924813</v>
      </c>
      <c r="L228" s="83"/>
    </row>
    <row r="229" spans="1:12" s="24" customFormat="1" ht="12.75" customHeight="1">
      <c r="A229" s="25" t="s">
        <v>256</v>
      </c>
      <c r="B229" s="22">
        <v>2003</v>
      </c>
      <c r="C229" s="65" t="s">
        <v>258</v>
      </c>
      <c r="D229" s="25"/>
      <c r="E229" s="25"/>
      <c r="F229" s="47">
        <v>0.154</v>
      </c>
      <c r="G229" s="83" t="s">
        <v>10</v>
      </c>
      <c r="H229" s="135">
        <f>252.576/0.5823</f>
        <v>433.7557959814528</v>
      </c>
      <c r="I229" s="47">
        <f t="shared" si="5"/>
        <v>2816.5960778016415</v>
      </c>
      <c r="L229" s="83"/>
    </row>
    <row r="230" spans="1:12" s="24" customFormat="1" ht="12.75" customHeight="1">
      <c r="A230" s="25" t="s">
        <v>256</v>
      </c>
      <c r="B230" s="22">
        <v>2003</v>
      </c>
      <c r="C230" s="65" t="s">
        <v>259</v>
      </c>
      <c r="D230" s="25"/>
      <c r="E230" s="25"/>
      <c r="F230" s="47">
        <v>0.132</v>
      </c>
      <c r="G230" s="83" t="s">
        <v>10</v>
      </c>
      <c r="H230" s="135">
        <f>137.784/0.5823</f>
        <v>236.62029881504375</v>
      </c>
      <c r="I230" s="47">
        <f t="shared" si="5"/>
        <v>1792.578021326089</v>
      </c>
      <c r="L230" s="83"/>
    </row>
    <row r="231" spans="1:12" s="24" customFormat="1" ht="12.75" customHeight="1">
      <c r="A231" s="25" t="s">
        <v>256</v>
      </c>
      <c r="B231" s="22">
        <v>2003</v>
      </c>
      <c r="C231" s="65" t="s">
        <v>693</v>
      </c>
      <c r="D231" s="25"/>
      <c r="E231" s="25"/>
      <c r="F231" s="47">
        <v>0.097</v>
      </c>
      <c r="G231" s="83" t="s">
        <v>10</v>
      </c>
      <c r="H231" s="135">
        <f>122.674/0.5823</f>
        <v>210.67147518461275</v>
      </c>
      <c r="I231" s="47">
        <f t="shared" si="5"/>
        <v>2171.870878191884</v>
      </c>
      <c r="L231" s="83"/>
    </row>
    <row r="232" spans="1:12" s="24" customFormat="1" ht="12.75" customHeight="1">
      <c r="A232" s="25" t="s">
        <v>256</v>
      </c>
      <c r="B232" s="22">
        <v>2003</v>
      </c>
      <c r="C232" s="65" t="s">
        <v>265</v>
      </c>
      <c r="D232" s="25"/>
      <c r="E232" s="25"/>
      <c r="F232" s="47">
        <v>0.072</v>
      </c>
      <c r="G232" s="83" t="s">
        <v>10</v>
      </c>
      <c r="H232" s="135">
        <f>80.256/0.5823</f>
        <v>137.82586295723854</v>
      </c>
      <c r="I232" s="47">
        <f t="shared" si="5"/>
        <v>1914.2480966283133</v>
      </c>
      <c r="L232" s="83"/>
    </row>
    <row r="233" spans="1:12" s="24" customFormat="1" ht="12.75" customHeight="1">
      <c r="A233" s="25" t="s">
        <v>256</v>
      </c>
      <c r="B233" s="22">
        <v>2003</v>
      </c>
      <c r="C233" s="65" t="s">
        <v>689</v>
      </c>
      <c r="D233" s="25"/>
      <c r="E233" s="25"/>
      <c r="F233" s="47">
        <v>0.065</v>
      </c>
      <c r="G233" s="83" t="s">
        <v>10</v>
      </c>
      <c r="H233" s="135">
        <f>59.394/0.5823</f>
        <v>101.99896960329725</v>
      </c>
      <c r="I233" s="47">
        <f t="shared" si="5"/>
        <v>1569.2149169738038</v>
      </c>
      <c r="L233" s="83"/>
    </row>
    <row r="234" spans="1:12" s="24" customFormat="1" ht="12.75" customHeight="1">
      <c r="A234" s="25" t="s">
        <v>256</v>
      </c>
      <c r="B234" s="22">
        <v>2003</v>
      </c>
      <c r="C234" s="65" t="s">
        <v>691</v>
      </c>
      <c r="D234" s="25"/>
      <c r="E234" s="25"/>
      <c r="F234" s="47">
        <v>0.033</v>
      </c>
      <c r="G234" s="83" t="s">
        <v>10</v>
      </c>
      <c r="H234" s="135">
        <f>29.216/0.5823</f>
        <v>50.17345011162631</v>
      </c>
      <c r="I234" s="47">
        <f t="shared" si="5"/>
        <v>1520.407579140191</v>
      </c>
      <c r="L234" s="83"/>
    </row>
    <row r="235" spans="1:12" s="24" customFormat="1" ht="12.75" customHeight="1">
      <c r="A235" s="25" t="s">
        <v>256</v>
      </c>
      <c r="B235" s="22">
        <v>2003</v>
      </c>
      <c r="C235" s="65" t="s">
        <v>264</v>
      </c>
      <c r="D235" s="25"/>
      <c r="E235" s="25"/>
      <c r="F235" s="47">
        <v>0.022</v>
      </c>
      <c r="G235" s="83" t="s">
        <v>10</v>
      </c>
      <c r="H235" s="135">
        <f>31.161/0.5823</f>
        <v>53.51365275631118</v>
      </c>
      <c r="I235" s="47">
        <f t="shared" si="5"/>
        <v>2432.4387616505082</v>
      </c>
      <c r="L235" s="83"/>
    </row>
    <row r="236" spans="1:12" s="24" customFormat="1" ht="12.75" customHeight="1">
      <c r="A236" s="25" t="s">
        <v>256</v>
      </c>
      <c r="B236" s="22">
        <v>2003</v>
      </c>
      <c r="C236" s="65" t="s">
        <v>688</v>
      </c>
      <c r="D236" s="25"/>
      <c r="E236" s="25"/>
      <c r="F236" s="47">
        <v>0.013</v>
      </c>
      <c r="G236" s="83" t="s">
        <v>10</v>
      </c>
      <c r="H236" s="135">
        <f>8.094/0.5823</f>
        <v>13.900051519835134</v>
      </c>
      <c r="I236" s="47">
        <f t="shared" si="5"/>
        <v>1069.2347322950104</v>
      </c>
      <c r="L236" s="83"/>
    </row>
    <row r="237" spans="1:12" s="24" customFormat="1" ht="12.75" customHeight="1">
      <c r="A237" s="25" t="s">
        <v>256</v>
      </c>
      <c r="B237" s="22">
        <v>2003</v>
      </c>
      <c r="C237" s="65" t="s">
        <v>694</v>
      </c>
      <c r="D237" s="25"/>
      <c r="E237" s="25"/>
      <c r="F237" s="47">
        <v>0.01</v>
      </c>
      <c r="G237" s="83" t="s">
        <v>10</v>
      </c>
      <c r="H237" s="135">
        <f>8.496/0.5823</f>
        <v>14.590417310664606</v>
      </c>
      <c r="I237" s="47">
        <f t="shared" si="5"/>
        <v>1459.0417310664604</v>
      </c>
      <c r="L237" s="83"/>
    </row>
    <row r="238" spans="1:12" s="24" customFormat="1" ht="12.75" customHeight="1">
      <c r="A238" s="25" t="s">
        <v>256</v>
      </c>
      <c r="B238" s="22">
        <v>2003</v>
      </c>
      <c r="C238" s="65" t="s">
        <v>687</v>
      </c>
      <c r="D238" s="25"/>
      <c r="E238" s="25"/>
      <c r="F238" s="47">
        <v>0.008</v>
      </c>
      <c r="G238" s="83" t="s">
        <v>10</v>
      </c>
      <c r="H238" s="135">
        <f>8.576/0.5823</f>
        <v>14.727803537695346</v>
      </c>
      <c r="I238" s="47">
        <f t="shared" si="5"/>
        <v>1840.975442211918</v>
      </c>
      <c r="L238" s="83"/>
    </row>
    <row r="239" spans="1:12" s="24" customFormat="1" ht="12.75" customHeight="1">
      <c r="A239" s="25" t="s">
        <v>256</v>
      </c>
      <c r="B239" s="22">
        <v>2003</v>
      </c>
      <c r="C239" s="65" t="s">
        <v>690</v>
      </c>
      <c r="D239" s="25"/>
      <c r="E239" s="25"/>
      <c r="F239" s="47">
        <v>0.001</v>
      </c>
      <c r="G239" s="83" t="s">
        <v>10</v>
      </c>
      <c r="H239" s="135">
        <f>1.162/0.5823</f>
        <v>1.9955349476215007</v>
      </c>
      <c r="I239" s="47">
        <f t="shared" si="5"/>
        <v>1995.5349476215008</v>
      </c>
      <c r="L239" s="83"/>
    </row>
    <row r="240" spans="1:12" s="24" customFormat="1" ht="12.75" customHeight="1">
      <c r="A240" s="25"/>
      <c r="B240" s="22"/>
      <c r="C240" s="63"/>
      <c r="D240" s="75"/>
      <c r="E240" s="75"/>
      <c r="F240" s="148"/>
      <c r="G240" s="83"/>
      <c r="H240" s="135"/>
      <c r="I240" s="47"/>
      <c r="L240" s="83"/>
    </row>
    <row r="241" spans="1:12" s="24" customFormat="1" ht="12.75" customHeight="1">
      <c r="A241" s="25" t="s">
        <v>256</v>
      </c>
      <c r="B241" s="22">
        <v>2004</v>
      </c>
      <c r="C241" s="65" t="s">
        <v>260</v>
      </c>
      <c r="D241" s="25" t="s">
        <v>42</v>
      </c>
      <c r="E241" s="25"/>
      <c r="F241" s="47">
        <v>2.751</v>
      </c>
      <c r="G241" s="83"/>
      <c r="H241" s="135">
        <f>3376.799/0.664</f>
        <v>5085.540662650602</v>
      </c>
      <c r="I241" s="47">
        <f aca="true" t="shared" si="6" ref="I241:I256">$H241/$F241</f>
        <v>1848.6152899493284</v>
      </c>
      <c r="L241" s="83"/>
    </row>
    <row r="242" spans="1:12" s="24" customFormat="1" ht="12.75" customHeight="1">
      <c r="A242" s="25" t="s">
        <v>256</v>
      </c>
      <c r="B242" s="22">
        <v>2004</v>
      </c>
      <c r="C242" s="65" t="s">
        <v>261</v>
      </c>
      <c r="D242" s="25"/>
      <c r="E242" s="25"/>
      <c r="F242" s="47">
        <v>0.807</v>
      </c>
      <c r="G242" s="83"/>
      <c r="H242" s="135">
        <f>1615.979/0.664</f>
        <v>2433.703313253012</v>
      </c>
      <c r="I242" s="47">
        <f t="shared" si="6"/>
        <v>3015.741404278825</v>
      </c>
      <c r="L242" s="83"/>
    </row>
    <row r="243" spans="1:12" s="24" customFormat="1" ht="12.75" customHeight="1">
      <c r="A243" s="25" t="s">
        <v>256</v>
      </c>
      <c r="B243" s="22">
        <v>2004</v>
      </c>
      <c r="C243" s="65" t="s">
        <v>257</v>
      </c>
      <c r="D243" s="25"/>
      <c r="E243" s="25"/>
      <c r="F243" s="47">
        <v>0.756</v>
      </c>
      <c r="G243" s="83"/>
      <c r="H243" s="135">
        <f>211.448/0.664</f>
        <v>318.4457831325301</v>
      </c>
      <c r="I243" s="47">
        <f t="shared" si="6"/>
        <v>421.22458086313503</v>
      </c>
      <c r="L243" s="83"/>
    </row>
    <row r="244" spans="1:12" s="24" customFormat="1" ht="12.75" customHeight="1">
      <c r="A244" s="25" t="s">
        <v>256</v>
      </c>
      <c r="B244" s="22">
        <v>2004</v>
      </c>
      <c r="C244" s="65" t="s">
        <v>263</v>
      </c>
      <c r="D244" s="25"/>
      <c r="E244" s="25"/>
      <c r="F244" s="47">
        <v>0.66</v>
      </c>
      <c r="G244" s="83"/>
      <c r="H244" s="135">
        <f>723.004/0.664</f>
        <v>1088.8614457831325</v>
      </c>
      <c r="I244" s="47">
        <f t="shared" si="6"/>
        <v>1649.7900693683825</v>
      </c>
      <c r="L244" s="83"/>
    </row>
    <row r="245" spans="1:12" s="24" customFormat="1" ht="12.75" customHeight="1">
      <c r="A245" s="25" t="s">
        <v>256</v>
      </c>
      <c r="B245" s="22">
        <v>2004</v>
      </c>
      <c r="C245" s="65" t="s">
        <v>695</v>
      </c>
      <c r="D245" s="25"/>
      <c r="E245" s="25"/>
      <c r="F245" s="47">
        <v>0.561</v>
      </c>
      <c r="G245" s="83"/>
      <c r="H245" s="135">
        <f>604.947/0.664</f>
        <v>911.0647590361446</v>
      </c>
      <c r="I245" s="47">
        <f t="shared" si="6"/>
        <v>1624.001353005605</v>
      </c>
      <c r="L245" s="83"/>
    </row>
    <row r="246" spans="1:12" s="24" customFormat="1" ht="12.75" customHeight="1">
      <c r="A246" s="25" t="s">
        <v>256</v>
      </c>
      <c r="B246" s="22">
        <v>2004</v>
      </c>
      <c r="C246" s="65" t="s">
        <v>262</v>
      </c>
      <c r="D246" s="25"/>
      <c r="E246" s="25"/>
      <c r="F246" s="47">
        <v>0.27</v>
      </c>
      <c r="G246" s="83" t="s">
        <v>10</v>
      </c>
      <c r="H246" s="135">
        <f>393.188/0.664</f>
        <v>592.1506024096385</v>
      </c>
      <c r="I246" s="47">
        <f t="shared" si="6"/>
        <v>2193.1503792949575</v>
      </c>
      <c r="L246" s="83"/>
    </row>
    <row r="247" spans="1:12" s="24" customFormat="1" ht="12.75" customHeight="1">
      <c r="A247" s="25" t="s">
        <v>256</v>
      </c>
      <c r="B247" s="22">
        <v>2004</v>
      </c>
      <c r="C247" s="65" t="s">
        <v>258</v>
      </c>
      <c r="D247" s="25"/>
      <c r="E247" s="25"/>
      <c r="F247" s="47">
        <v>0.214</v>
      </c>
      <c r="G247" s="83" t="s">
        <v>10</v>
      </c>
      <c r="H247" s="135">
        <f>284.7/0.664</f>
        <v>428.7650602409638</v>
      </c>
      <c r="I247" s="47">
        <f t="shared" si="6"/>
        <v>2003.575047854971</v>
      </c>
      <c r="L247" s="83"/>
    </row>
    <row r="248" spans="1:12" s="24" customFormat="1" ht="12.75" customHeight="1">
      <c r="A248" s="25" t="s">
        <v>256</v>
      </c>
      <c r="B248" s="22">
        <v>2004</v>
      </c>
      <c r="C248" s="65" t="s">
        <v>693</v>
      </c>
      <c r="D248" s="25"/>
      <c r="E248" s="25"/>
      <c r="F248" s="47">
        <v>0.087</v>
      </c>
      <c r="G248" s="83" t="s">
        <v>10</v>
      </c>
      <c r="H248" s="135">
        <f>99.374/0.664</f>
        <v>149.65963855421685</v>
      </c>
      <c r="I248" s="47">
        <f t="shared" si="6"/>
        <v>1720.2257305082398</v>
      </c>
      <c r="L248" s="83"/>
    </row>
    <row r="249" spans="1:12" s="24" customFormat="1" ht="12.75" customHeight="1">
      <c r="A249" s="25" t="s">
        <v>256</v>
      </c>
      <c r="B249" s="22">
        <v>2004</v>
      </c>
      <c r="C249" s="65" t="s">
        <v>265</v>
      </c>
      <c r="D249" s="25"/>
      <c r="E249" s="25"/>
      <c r="F249" s="47">
        <v>0.086</v>
      </c>
      <c r="G249" s="83" t="s">
        <v>10</v>
      </c>
      <c r="H249" s="135">
        <f>94.349/0.664</f>
        <v>142.0918674698795</v>
      </c>
      <c r="I249" s="47">
        <f t="shared" si="6"/>
        <v>1652.2310170916223</v>
      </c>
      <c r="L249" s="83"/>
    </row>
    <row r="250" spans="1:12" s="24" customFormat="1" ht="12.75" customHeight="1">
      <c r="A250" s="25" t="s">
        <v>256</v>
      </c>
      <c r="B250" s="22">
        <v>2004</v>
      </c>
      <c r="C250" s="65" t="s">
        <v>688</v>
      </c>
      <c r="D250" s="25"/>
      <c r="E250" s="25"/>
      <c r="F250" s="47">
        <v>0.063</v>
      </c>
      <c r="G250" s="83" t="s">
        <v>10</v>
      </c>
      <c r="H250" s="135">
        <f>43.697/0.664</f>
        <v>65.80873493975903</v>
      </c>
      <c r="I250" s="47">
        <f t="shared" si="6"/>
        <v>1044.5830942818893</v>
      </c>
      <c r="L250" s="83"/>
    </row>
    <row r="251" spans="1:12" s="24" customFormat="1" ht="12.75" customHeight="1">
      <c r="A251" s="25" t="s">
        <v>256</v>
      </c>
      <c r="B251" s="22">
        <v>2004</v>
      </c>
      <c r="C251" s="65" t="s">
        <v>691</v>
      </c>
      <c r="D251" s="25"/>
      <c r="E251" s="25"/>
      <c r="F251" s="47">
        <v>0.05</v>
      </c>
      <c r="G251" s="83" t="s">
        <v>10</v>
      </c>
      <c r="H251" s="135">
        <f>42.488/0.664</f>
        <v>63.98795180722891</v>
      </c>
      <c r="I251" s="47">
        <f t="shared" si="6"/>
        <v>1279.7590361445782</v>
      </c>
      <c r="L251" s="83"/>
    </row>
    <row r="252" spans="1:12" s="24" customFormat="1" ht="12.75" customHeight="1">
      <c r="A252" s="25" t="s">
        <v>256</v>
      </c>
      <c r="B252" s="22">
        <v>2004</v>
      </c>
      <c r="C252" s="65" t="s">
        <v>689</v>
      </c>
      <c r="D252" s="25"/>
      <c r="E252" s="25"/>
      <c r="F252" s="47">
        <v>0.046</v>
      </c>
      <c r="G252" s="83" t="s">
        <v>10</v>
      </c>
      <c r="H252" s="135">
        <f>44.014/0.664</f>
        <v>66.28614457831326</v>
      </c>
      <c r="I252" s="47">
        <f t="shared" si="6"/>
        <v>1441.00314300681</v>
      </c>
      <c r="L252" s="83"/>
    </row>
    <row r="253" spans="1:12" s="24" customFormat="1" ht="12.75" customHeight="1">
      <c r="A253" s="25" t="s">
        <v>256</v>
      </c>
      <c r="B253" s="22">
        <v>2004</v>
      </c>
      <c r="C253" s="65" t="s">
        <v>692</v>
      </c>
      <c r="D253" s="25"/>
      <c r="E253" s="25"/>
      <c r="F253" s="47">
        <v>0.045</v>
      </c>
      <c r="G253" s="83" t="s">
        <v>10</v>
      </c>
      <c r="H253" s="135">
        <f>38.812/0.664</f>
        <v>58.451807228915655</v>
      </c>
      <c r="I253" s="47">
        <f t="shared" si="6"/>
        <v>1298.929049531459</v>
      </c>
      <c r="L253" s="83"/>
    </row>
    <row r="254" spans="1:12" s="24" customFormat="1" ht="12.75" customHeight="1">
      <c r="A254" s="25" t="s">
        <v>256</v>
      </c>
      <c r="B254" s="22">
        <v>2004</v>
      </c>
      <c r="C254" s="65" t="s">
        <v>259</v>
      </c>
      <c r="D254" s="25"/>
      <c r="E254" s="25"/>
      <c r="F254" s="47">
        <v>0.025</v>
      </c>
      <c r="G254" s="83" t="s">
        <v>10</v>
      </c>
      <c r="H254" s="135">
        <f>20.356/0.664</f>
        <v>30.656626506024097</v>
      </c>
      <c r="I254" s="47">
        <f t="shared" si="6"/>
        <v>1226.2650602409637</v>
      </c>
      <c r="L254" s="83"/>
    </row>
    <row r="255" spans="1:12" s="24" customFormat="1" ht="12.75" customHeight="1">
      <c r="A255" s="25" t="s">
        <v>256</v>
      </c>
      <c r="B255" s="22">
        <v>2004</v>
      </c>
      <c r="C255" s="65" t="s">
        <v>694</v>
      </c>
      <c r="D255" s="25"/>
      <c r="E255" s="25"/>
      <c r="F255" s="47">
        <v>0.022</v>
      </c>
      <c r="G255" s="83" t="s">
        <v>10</v>
      </c>
      <c r="H255" s="135">
        <f>17.538/0.664</f>
        <v>26.412650602409638</v>
      </c>
      <c r="I255" s="47">
        <f t="shared" si="6"/>
        <v>1200.5750273822564</v>
      </c>
      <c r="L255" s="83"/>
    </row>
    <row r="256" spans="1:12" s="24" customFormat="1" ht="12.75" customHeight="1">
      <c r="A256" s="25" t="s">
        <v>256</v>
      </c>
      <c r="B256" s="22">
        <v>2004</v>
      </c>
      <c r="C256" s="65" t="s">
        <v>687</v>
      </c>
      <c r="D256" s="25"/>
      <c r="E256" s="25"/>
      <c r="F256" s="47">
        <v>0.003</v>
      </c>
      <c r="G256" s="83" t="s">
        <v>10</v>
      </c>
      <c r="H256" s="135">
        <f>2.659/0.664</f>
        <v>4.004518072289156</v>
      </c>
      <c r="I256" s="47">
        <f t="shared" si="6"/>
        <v>1334.8393574297186</v>
      </c>
      <c r="L256" s="83"/>
    </row>
    <row r="257" spans="1:12" s="24" customFormat="1" ht="12.75" customHeight="1">
      <c r="A257" s="25"/>
      <c r="B257" s="22"/>
      <c r="C257" s="63"/>
      <c r="D257" s="75"/>
      <c r="E257" s="75"/>
      <c r="F257" s="148"/>
      <c r="G257" s="83"/>
      <c r="H257" s="135"/>
      <c r="I257" s="47"/>
      <c r="L257" s="83"/>
    </row>
    <row r="258" spans="1:12" s="24" customFormat="1" ht="3" customHeight="1">
      <c r="A258" s="25"/>
      <c r="B258" s="22"/>
      <c r="C258" s="63"/>
      <c r="D258" s="75"/>
      <c r="E258" s="75"/>
      <c r="F258" s="76"/>
      <c r="G258" s="83"/>
      <c r="H258" s="135"/>
      <c r="I258" s="47"/>
      <c r="L258" s="83"/>
    </row>
    <row r="259" spans="1:12" s="24" customFormat="1" ht="12.75" customHeight="1">
      <c r="A259" s="25" t="s">
        <v>55</v>
      </c>
      <c r="B259" s="22">
        <v>2003</v>
      </c>
      <c r="C259" s="22" t="s">
        <v>60</v>
      </c>
      <c r="D259" s="25" t="s">
        <v>42</v>
      </c>
      <c r="E259" s="25"/>
      <c r="F259" s="19">
        <v>2.727</v>
      </c>
      <c r="G259" s="83"/>
      <c r="H259" s="120">
        <f>21641/7.0802</f>
        <v>3056.5520748001472</v>
      </c>
      <c r="I259" s="47">
        <f>$H259/$F259</f>
        <v>1120.8478455446084</v>
      </c>
      <c r="L259" s="83"/>
    </row>
    <row r="260" spans="1:12" s="24" customFormat="1" ht="12.75" customHeight="1">
      <c r="A260" s="25" t="s">
        <v>55</v>
      </c>
      <c r="B260" s="22">
        <v>2003</v>
      </c>
      <c r="C260" s="22" t="s">
        <v>58</v>
      </c>
      <c r="D260" s="25"/>
      <c r="E260" s="25"/>
      <c r="F260" s="19">
        <v>0.066</v>
      </c>
      <c r="G260" s="83" t="s">
        <v>10</v>
      </c>
      <c r="H260" s="120">
        <f>558/7.0802</f>
        <v>78.81133301319173</v>
      </c>
      <c r="I260" s="47">
        <f>$H260/$F260</f>
        <v>1194.1111062604807</v>
      </c>
      <c r="L260" s="83"/>
    </row>
    <row r="261" spans="1:12" s="24" customFormat="1" ht="12.75" customHeight="1">
      <c r="A261" s="25" t="s">
        <v>55</v>
      </c>
      <c r="B261" s="22">
        <v>2003</v>
      </c>
      <c r="C261" s="22" t="s">
        <v>59</v>
      </c>
      <c r="D261" s="25"/>
      <c r="E261" s="25"/>
      <c r="F261" s="19">
        <v>0.01</v>
      </c>
      <c r="G261" s="83" t="s">
        <v>10</v>
      </c>
      <c r="H261" s="120">
        <f>148/7.0802</f>
        <v>20.903364311742607</v>
      </c>
      <c r="I261" s="47">
        <f>$H261/$F261</f>
        <v>2090.3364311742607</v>
      </c>
      <c r="L261" s="83"/>
    </row>
    <row r="262" spans="1:12" s="24" customFormat="1" ht="12.75" customHeight="1">
      <c r="A262" s="25"/>
      <c r="B262" s="22"/>
      <c r="C262" s="25"/>
      <c r="D262" s="25"/>
      <c r="E262" s="25"/>
      <c r="F262" s="19"/>
      <c r="G262" s="83"/>
      <c r="H262" s="120"/>
      <c r="I262" s="19"/>
      <c r="L262" s="83"/>
    </row>
    <row r="263" spans="1:12" s="24" customFormat="1" ht="12.75" customHeight="1">
      <c r="A263" s="25" t="s">
        <v>55</v>
      </c>
      <c r="B263" s="22">
        <v>2004</v>
      </c>
      <c r="C263" s="22" t="s">
        <v>60</v>
      </c>
      <c r="D263" s="25" t="s">
        <v>42</v>
      </c>
      <c r="E263" s="25"/>
      <c r="F263" s="19">
        <v>2.557</v>
      </c>
      <c r="G263" s="83"/>
      <c r="H263" s="120">
        <f>23513/6.7408</f>
        <v>3488.1616425350107</v>
      </c>
      <c r="I263" s="47">
        <f>$H263/$F263</f>
        <v>1364.1617686879197</v>
      </c>
      <c r="L263" s="83"/>
    </row>
    <row r="264" spans="1:12" s="24" customFormat="1" ht="12.75" customHeight="1">
      <c r="A264" s="25" t="s">
        <v>55</v>
      </c>
      <c r="B264" s="22">
        <v>2004</v>
      </c>
      <c r="C264" s="22" t="s">
        <v>58</v>
      </c>
      <c r="D264" s="25"/>
      <c r="E264" s="25"/>
      <c r="F264" s="19">
        <v>0.048</v>
      </c>
      <c r="G264" s="83" t="s">
        <v>10</v>
      </c>
      <c r="H264" s="120">
        <f>532/6.7408</f>
        <v>78.9223830999288</v>
      </c>
      <c r="I264" s="47">
        <f>$H264/$F264</f>
        <v>1644.21631458185</v>
      </c>
      <c r="L264" s="83"/>
    </row>
    <row r="265" spans="1:12" s="24" customFormat="1" ht="12.75" customHeight="1">
      <c r="A265" s="25" t="s">
        <v>55</v>
      </c>
      <c r="B265" s="22">
        <v>2004</v>
      </c>
      <c r="C265" s="22" t="s">
        <v>59</v>
      </c>
      <c r="D265" s="25"/>
      <c r="E265" s="25"/>
      <c r="F265" s="19">
        <v>0.097</v>
      </c>
      <c r="G265" s="83" t="s">
        <v>10</v>
      </c>
      <c r="H265" s="120">
        <f>449/6.7408</f>
        <v>66.60930453358651</v>
      </c>
      <c r="I265" s="47">
        <f>$H265/$F265</f>
        <v>686.693861170995</v>
      </c>
      <c r="L265" s="83"/>
    </row>
    <row r="266" spans="1:12" s="24" customFormat="1" ht="12.75" customHeight="1">
      <c r="A266" s="25"/>
      <c r="B266" s="22"/>
      <c r="C266" s="25"/>
      <c r="D266" s="25"/>
      <c r="E266" s="25"/>
      <c r="F266" s="19"/>
      <c r="G266" s="83"/>
      <c r="H266" s="120"/>
      <c r="I266" s="19"/>
      <c r="L266" s="83"/>
    </row>
    <row r="267" spans="1:12" s="24" customFormat="1" ht="12.75" customHeight="1">
      <c r="A267" s="25" t="s">
        <v>77</v>
      </c>
      <c r="B267" s="22">
        <v>2003</v>
      </c>
      <c r="C267" s="22" t="s">
        <v>219</v>
      </c>
      <c r="D267" s="25" t="s">
        <v>42</v>
      </c>
      <c r="E267" s="25"/>
      <c r="F267" s="19">
        <v>50</v>
      </c>
      <c r="G267" s="83"/>
      <c r="H267" s="120">
        <v>16962</v>
      </c>
      <c r="I267" s="47">
        <f>$H267/$F267</f>
        <v>339.24</v>
      </c>
      <c r="L267" s="83"/>
    </row>
    <row r="268" spans="1:12" s="24" customFormat="1" ht="12.75" customHeight="1">
      <c r="A268" s="25" t="s">
        <v>77</v>
      </c>
      <c r="B268" s="22">
        <v>2003</v>
      </c>
      <c r="C268" s="22" t="s">
        <v>227</v>
      </c>
      <c r="D268" s="25"/>
      <c r="E268" s="25"/>
      <c r="F268" s="19">
        <v>26</v>
      </c>
      <c r="G268" s="83"/>
      <c r="H268" s="120">
        <v>4289</v>
      </c>
      <c r="I268" s="47">
        <f>$H268/$F268</f>
        <v>164.96153846153845</v>
      </c>
      <c r="L268" s="83"/>
    </row>
    <row r="269" spans="1:12" s="24" customFormat="1" ht="12.75" customHeight="1">
      <c r="A269" s="25" t="s">
        <v>77</v>
      </c>
      <c r="B269" s="22">
        <v>2003</v>
      </c>
      <c r="C269" s="25" t="s">
        <v>623</v>
      </c>
      <c r="D269" s="25"/>
      <c r="E269" s="25"/>
      <c r="F269" s="19">
        <v>7</v>
      </c>
      <c r="G269" s="83"/>
      <c r="H269" s="120">
        <v>2387</v>
      </c>
      <c r="I269" s="47">
        <f>$H269/$F269</f>
        <v>341</v>
      </c>
      <c r="L269" s="83"/>
    </row>
    <row r="270" spans="1:12" s="24" customFormat="1" ht="12.75" customHeight="1">
      <c r="A270" s="25" t="s">
        <v>77</v>
      </c>
      <c r="B270" s="22">
        <v>2003</v>
      </c>
      <c r="C270" s="22" t="s">
        <v>620</v>
      </c>
      <c r="D270" s="25"/>
      <c r="E270" s="25"/>
      <c r="F270" s="19">
        <v>0</v>
      </c>
      <c r="G270" s="83" t="s">
        <v>10</v>
      </c>
      <c r="H270" s="120">
        <v>36</v>
      </c>
      <c r="I270" s="70" t="s">
        <v>71</v>
      </c>
      <c r="L270" s="83"/>
    </row>
    <row r="271" spans="1:12" s="24" customFormat="1" ht="12.75" customHeight="1">
      <c r="A271" s="25" t="s">
        <v>77</v>
      </c>
      <c r="B271" s="22">
        <v>2003</v>
      </c>
      <c r="C271" s="22" t="s">
        <v>621</v>
      </c>
      <c r="D271" s="25"/>
      <c r="E271" s="25"/>
      <c r="F271" s="19">
        <v>0</v>
      </c>
      <c r="G271" s="83" t="s">
        <v>10</v>
      </c>
      <c r="H271" s="120">
        <v>28</v>
      </c>
      <c r="I271" s="70" t="s">
        <v>71</v>
      </c>
      <c r="L271" s="83"/>
    </row>
    <row r="272" spans="1:12" s="24" customFormat="1" ht="12.75" customHeight="1">
      <c r="A272" s="25" t="s">
        <v>77</v>
      </c>
      <c r="B272" s="22">
        <v>2003</v>
      </c>
      <c r="C272" s="22" t="s">
        <v>622</v>
      </c>
      <c r="D272" s="25"/>
      <c r="E272" s="25"/>
      <c r="F272" s="19">
        <v>0</v>
      </c>
      <c r="G272" s="83" t="s">
        <v>10</v>
      </c>
      <c r="H272" s="120">
        <v>11</v>
      </c>
      <c r="I272" s="70" t="s">
        <v>71</v>
      </c>
      <c r="L272" s="83"/>
    </row>
    <row r="273" spans="1:12" s="24" customFormat="1" ht="12.75" customHeight="1">
      <c r="A273" s="25" t="s">
        <v>77</v>
      </c>
      <c r="B273" s="22">
        <v>2003</v>
      </c>
      <c r="C273" s="25" t="s">
        <v>624</v>
      </c>
      <c r="D273" s="25"/>
      <c r="E273" s="25"/>
      <c r="F273" s="19">
        <v>0</v>
      </c>
      <c r="G273" s="83" t="s">
        <v>10</v>
      </c>
      <c r="H273" s="120">
        <v>675</v>
      </c>
      <c r="I273" s="70" t="s">
        <v>71</v>
      </c>
      <c r="L273" s="83"/>
    </row>
    <row r="274" spans="1:12" s="24" customFormat="1" ht="12.75" customHeight="1">
      <c r="A274" s="25" t="s">
        <v>77</v>
      </c>
      <c r="B274" s="22">
        <v>2003</v>
      </c>
      <c r="C274" s="25" t="s">
        <v>625</v>
      </c>
      <c r="D274" s="25"/>
      <c r="E274" s="25"/>
      <c r="F274" s="19">
        <v>0</v>
      </c>
      <c r="G274" s="83" t="s">
        <v>10</v>
      </c>
      <c r="H274" s="120">
        <v>263</v>
      </c>
      <c r="I274" s="70" t="s">
        <v>71</v>
      </c>
      <c r="L274" s="83"/>
    </row>
    <row r="275" spans="1:12" s="24" customFormat="1" ht="12.75" customHeight="1">
      <c r="A275" s="25" t="s">
        <v>77</v>
      </c>
      <c r="B275" s="22">
        <v>2003</v>
      </c>
      <c r="C275" s="25"/>
      <c r="D275" s="25" t="s">
        <v>482</v>
      </c>
      <c r="E275" s="25"/>
      <c r="F275" s="19">
        <v>223</v>
      </c>
      <c r="G275" s="83"/>
      <c r="H275" s="120">
        <v>62036</v>
      </c>
      <c r="I275" s="47">
        <f>$H275/$F275</f>
        <v>278.1883408071749</v>
      </c>
      <c r="L275" s="83"/>
    </row>
    <row r="276" spans="1:12" s="24" customFormat="1" ht="12.75" customHeight="1">
      <c r="A276" s="25"/>
      <c r="B276" s="22"/>
      <c r="C276" s="25"/>
      <c r="D276" s="25"/>
      <c r="E276" s="25"/>
      <c r="F276" s="19"/>
      <c r="G276" s="83"/>
      <c r="H276" s="120"/>
      <c r="I276" s="19"/>
      <c r="L276" s="83"/>
    </row>
    <row r="277" spans="1:12" s="24" customFormat="1" ht="12.75" customHeight="1">
      <c r="A277" s="25" t="s">
        <v>77</v>
      </c>
      <c r="B277" s="22">
        <v>2004</v>
      </c>
      <c r="C277" s="22" t="s">
        <v>219</v>
      </c>
      <c r="D277" s="25" t="s">
        <v>42</v>
      </c>
      <c r="E277" s="25"/>
      <c r="F277" s="25">
        <v>38</v>
      </c>
      <c r="G277" s="83"/>
      <c r="H277" s="120">
        <v>13960</v>
      </c>
      <c r="I277" s="47">
        <f>$H277/$F277</f>
        <v>367.36842105263156</v>
      </c>
      <c r="L277" s="83"/>
    </row>
    <row r="278" spans="1:12" s="24" customFormat="1" ht="12.75" customHeight="1">
      <c r="A278" s="25" t="s">
        <v>77</v>
      </c>
      <c r="B278" s="22">
        <v>2004</v>
      </c>
      <c r="C278" s="22" t="s">
        <v>227</v>
      </c>
      <c r="D278" s="25"/>
      <c r="E278" s="25"/>
      <c r="F278" s="25">
        <v>18</v>
      </c>
      <c r="G278" s="83"/>
      <c r="H278" s="120">
        <v>6025</v>
      </c>
      <c r="I278" s="47">
        <f>$H278/$F278</f>
        <v>334.72222222222223</v>
      </c>
      <c r="L278" s="83"/>
    </row>
    <row r="279" spans="1:12" s="24" customFormat="1" ht="12.75" customHeight="1">
      <c r="A279" s="25" t="s">
        <v>77</v>
      </c>
      <c r="B279" s="22">
        <v>2004</v>
      </c>
      <c r="C279" s="25" t="s">
        <v>623</v>
      </c>
      <c r="D279" s="25"/>
      <c r="E279" s="25"/>
      <c r="F279" s="25">
        <v>5</v>
      </c>
      <c r="G279" s="83"/>
      <c r="H279" s="120">
        <v>1607</v>
      </c>
      <c r="I279" s="47">
        <f>$H279/$F279</f>
        <v>321.4</v>
      </c>
      <c r="L279" s="83"/>
    </row>
    <row r="280" spans="1:12" s="24" customFormat="1" ht="12.75" customHeight="1">
      <c r="A280" s="25" t="s">
        <v>77</v>
      </c>
      <c r="B280" s="22">
        <v>2004</v>
      </c>
      <c r="C280" s="22" t="s">
        <v>621</v>
      </c>
      <c r="D280" s="25"/>
      <c r="E280" s="25"/>
      <c r="F280" s="25">
        <v>0</v>
      </c>
      <c r="G280" s="83" t="s">
        <v>10</v>
      </c>
      <c r="H280" s="120">
        <v>3</v>
      </c>
      <c r="I280" s="70" t="s">
        <v>71</v>
      </c>
      <c r="L280" s="83"/>
    </row>
    <row r="281" spans="1:12" s="24" customFormat="1" ht="12.75" customHeight="1">
      <c r="A281" s="25" t="s">
        <v>77</v>
      </c>
      <c r="B281" s="22">
        <v>2004</v>
      </c>
      <c r="C281" s="22" t="s">
        <v>622</v>
      </c>
      <c r="D281" s="25"/>
      <c r="E281" s="25"/>
      <c r="F281" s="25">
        <v>0</v>
      </c>
      <c r="G281" s="83" t="s">
        <v>10</v>
      </c>
      <c r="H281" s="120">
        <v>70</v>
      </c>
      <c r="I281" s="70" t="s">
        <v>71</v>
      </c>
      <c r="L281" s="83"/>
    </row>
    <row r="282" spans="1:12" s="24" customFormat="1" ht="12.75" customHeight="1">
      <c r="A282" s="25" t="s">
        <v>77</v>
      </c>
      <c r="B282" s="22">
        <v>2004</v>
      </c>
      <c r="C282" s="25" t="s">
        <v>624</v>
      </c>
      <c r="D282" s="25"/>
      <c r="E282" s="25"/>
      <c r="F282" s="25">
        <v>0</v>
      </c>
      <c r="G282" s="83" t="s">
        <v>10</v>
      </c>
      <c r="H282" s="120">
        <v>571</v>
      </c>
      <c r="I282" s="70" t="s">
        <v>71</v>
      </c>
      <c r="L282" s="83"/>
    </row>
    <row r="283" spans="1:12" s="24" customFormat="1" ht="12.75" customHeight="1">
      <c r="A283" s="25" t="s">
        <v>77</v>
      </c>
      <c r="B283" s="22">
        <v>2004</v>
      </c>
      <c r="C283" s="25" t="s">
        <v>625</v>
      </c>
      <c r="D283" s="25"/>
      <c r="E283" s="25"/>
      <c r="F283" s="25">
        <v>0</v>
      </c>
      <c r="G283" s="83" t="s">
        <v>10</v>
      </c>
      <c r="H283" s="120">
        <v>184</v>
      </c>
      <c r="I283" s="70" t="s">
        <v>71</v>
      </c>
      <c r="L283" s="83"/>
    </row>
    <row r="284" spans="1:12" s="24" customFormat="1" ht="12.75" customHeight="1">
      <c r="A284" s="25" t="s">
        <v>77</v>
      </c>
      <c r="B284" s="22">
        <v>2004</v>
      </c>
      <c r="C284" s="25"/>
      <c r="D284" s="25" t="s">
        <v>482</v>
      </c>
      <c r="E284" s="25"/>
      <c r="F284" s="25">
        <v>227</v>
      </c>
      <c r="G284" s="83"/>
      <c r="H284" s="120">
        <v>57877</v>
      </c>
      <c r="I284" s="47">
        <f>$H284/$F284</f>
        <v>254.9647577092511</v>
      </c>
      <c r="L284" s="83"/>
    </row>
    <row r="285" spans="1:12" s="24" customFormat="1" ht="12.75" customHeight="1">
      <c r="A285" s="25"/>
      <c r="B285" s="22"/>
      <c r="C285" s="180"/>
      <c r="D285" s="25"/>
      <c r="E285" s="25"/>
      <c r="F285" s="19"/>
      <c r="G285" s="83"/>
      <c r="H285" s="120"/>
      <c r="I285" s="19"/>
      <c r="L285" s="83"/>
    </row>
    <row r="286" spans="1:12" s="24" customFormat="1" ht="12.75" customHeight="1">
      <c r="A286" s="25" t="s">
        <v>165</v>
      </c>
      <c r="B286" s="22">
        <v>2003</v>
      </c>
      <c r="C286" s="25" t="s">
        <v>216</v>
      </c>
      <c r="D286" s="25" t="s">
        <v>42</v>
      </c>
      <c r="E286" s="25"/>
      <c r="F286" s="19">
        <v>55.022</v>
      </c>
      <c r="G286" s="83"/>
      <c r="H286" s="120">
        <f>54841.876</f>
        <v>54841.876</v>
      </c>
      <c r="I286" s="47">
        <f aca="true" t="shared" si="7" ref="I286:I299">$H286/$F286</f>
        <v>996.7263276507579</v>
      </c>
      <c r="L286" s="19"/>
    </row>
    <row r="287" spans="1:12" s="24" customFormat="1" ht="12.75" customHeight="1">
      <c r="A287" s="25" t="s">
        <v>165</v>
      </c>
      <c r="B287" s="22">
        <v>2003</v>
      </c>
      <c r="C287" s="25" t="s">
        <v>217</v>
      </c>
      <c r="D287" s="25"/>
      <c r="E287" s="25"/>
      <c r="F287" s="19">
        <v>45.574</v>
      </c>
      <c r="G287" s="83"/>
      <c r="H287" s="120">
        <f>27689.163</f>
        <v>27689.163</v>
      </c>
      <c r="I287" s="47">
        <f t="shared" si="7"/>
        <v>607.5649054285338</v>
      </c>
      <c r="L287" s="19"/>
    </row>
    <row r="288" spans="1:12" s="24" customFormat="1" ht="12.75" customHeight="1">
      <c r="A288" s="25" t="s">
        <v>165</v>
      </c>
      <c r="B288" s="22">
        <v>2003</v>
      </c>
      <c r="C288" s="25" t="s">
        <v>218</v>
      </c>
      <c r="D288" s="25"/>
      <c r="E288" s="25"/>
      <c r="F288" s="19">
        <v>34.665</v>
      </c>
      <c r="G288" s="83"/>
      <c r="H288" s="120">
        <f>17705.058</f>
        <v>17705.058</v>
      </c>
      <c r="I288" s="47">
        <f t="shared" si="7"/>
        <v>510.74738208567726</v>
      </c>
      <c r="L288" s="19"/>
    </row>
    <row r="289" spans="1:12" s="24" customFormat="1" ht="12.75" customHeight="1">
      <c r="A289" s="25" t="s">
        <v>165</v>
      </c>
      <c r="B289" s="22">
        <v>2003</v>
      </c>
      <c r="C289" s="25" t="s">
        <v>684</v>
      </c>
      <c r="D289" s="25"/>
      <c r="E289" s="25"/>
      <c r="F289" s="19">
        <v>24.59</v>
      </c>
      <c r="G289" s="83"/>
      <c r="H289" s="120">
        <f>12510.232</f>
        <v>12510.232</v>
      </c>
      <c r="I289" s="47">
        <f t="shared" si="7"/>
        <v>508.7528263521757</v>
      </c>
      <c r="L289" s="19"/>
    </row>
    <row r="290" spans="1:12" s="24" customFormat="1" ht="12.75" customHeight="1">
      <c r="A290" s="25" t="s">
        <v>165</v>
      </c>
      <c r="B290" s="22">
        <v>2003</v>
      </c>
      <c r="C290" s="25" t="s">
        <v>222</v>
      </c>
      <c r="D290" s="25"/>
      <c r="E290" s="25"/>
      <c r="F290" s="19">
        <v>17.799</v>
      </c>
      <c r="G290" s="83"/>
      <c r="H290" s="120">
        <f>7387.376</f>
        <v>7387.376</v>
      </c>
      <c r="I290" s="47">
        <f t="shared" si="7"/>
        <v>415.0444406989157</v>
      </c>
      <c r="L290" s="19"/>
    </row>
    <row r="291" spans="1:12" s="24" customFormat="1" ht="12.75" customHeight="1">
      <c r="A291" s="25" t="s">
        <v>165</v>
      </c>
      <c r="B291" s="22">
        <v>2003</v>
      </c>
      <c r="C291" s="25" t="s">
        <v>221</v>
      </c>
      <c r="D291" s="25"/>
      <c r="E291" s="25"/>
      <c r="F291" s="19">
        <v>16.167</v>
      </c>
      <c r="G291" s="83"/>
      <c r="H291" s="120">
        <f>13712.346</f>
        <v>13712.346</v>
      </c>
      <c r="I291" s="47">
        <f t="shared" si="7"/>
        <v>848.1688624976804</v>
      </c>
      <c r="L291" s="19"/>
    </row>
    <row r="292" spans="1:12" s="24" customFormat="1" ht="12.75" customHeight="1">
      <c r="A292" s="25" t="s">
        <v>165</v>
      </c>
      <c r="B292" s="22">
        <v>2003</v>
      </c>
      <c r="C292" s="25" t="s">
        <v>220</v>
      </c>
      <c r="D292" s="25"/>
      <c r="E292" s="25"/>
      <c r="F292" s="19">
        <v>14.712</v>
      </c>
      <c r="G292" s="83"/>
      <c r="H292" s="120">
        <f>4133.806</f>
        <v>4133.806</v>
      </c>
      <c r="I292" s="47">
        <f t="shared" si="7"/>
        <v>280.981919521479</v>
      </c>
      <c r="L292" s="19"/>
    </row>
    <row r="293" spans="1:12" s="24" customFormat="1" ht="12.75" customHeight="1">
      <c r="A293" s="25" t="s">
        <v>165</v>
      </c>
      <c r="B293" s="22">
        <v>2003</v>
      </c>
      <c r="C293" s="25" t="s">
        <v>225</v>
      </c>
      <c r="D293" s="25"/>
      <c r="E293" s="25"/>
      <c r="F293" s="19">
        <v>13.872</v>
      </c>
      <c r="G293" s="83"/>
      <c r="H293" s="120">
        <f>4344.297</f>
        <v>4344.297</v>
      </c>
      <c r="I293" s="47">
        <f t="shared" si="7"/>
        <v>313.1701989619377</v>
      </c>
      <c r="L293" s="19"/>
    </row>
    <row r="294" spans="1:12" s="24" customFormat="1" ht="12.75" customHeight="1">
      <c r="A294" s="25" t="s">
        <v>165</v>
      </c>
      <c r="B294" s="22">
        <v>2003</v>
      </c>
      <c r="C294" s="25" t="s">
        <v>223</v>
      </c>
      <c r="D294" s="25"/>
      <c r="E294" s="25"/>
      <c r="F294" s="19">
        <v>13.83</v>
      </c>
      <c r="G294" s="83"/>
      <c r="H294" s="120">
        <f>6576.67</f>
        <v>6576.67</v>
      </c>
      <c r="I294" s="47">
        <f t="shared" si="7"/>
        <v>475.53651482284886</v>
      </c>
      <c r="L294" s="19"/>
    </row>
    <row r="295" spans="1:12" s="24" customFormat="1" ht="12.75" customHeight="1">
      <c r="A295" s="25" t="s">
        <v>165</v>
      </c>
      <c r="B295" s="22">
        <v>2003</v>
      </c>
      <c r="C295" s="25" t="s">
        <v>219</v>
      </c>
      <c r="D295" s="25"/>
      <c r="E295" s="25"/>
      <c r="F295" s="19">
        <v>12.896</v>
      </c>
      <c r="G295" s="83"/>
      <c r="H295" s="120">
        <f>8663.763</f>
        <v>8663.763</v>
      </c>
      <c r="I295" s="47">
        <f t="shared" si="7"/>
        <v>671.817850496278</v>
      </c>
      <c r="L295" s="19"/>
    </row>
    <row r="296" spans="1:12" s="24" customFormat="1" ht="12.75" customHeight="1">
      <c r="A296" s="25" t="s">
        <v>165</v>
      </c>
      <c r="B296" s="22">
        <v>2003</v>
      </c>
      <c r="C296" s="25" t="s">
        <v>226</v>
      </c>
      <c r="D296" s="25"/>
      <c r="E296" s="25"/>
      <c r="F296" s="19">
        <v>6.865</v>
      </c>
      <c r="G296" s="83"/>
      <c r="H296" s="120">
        <f>3844.582</f>
        <v>3844.582</v>
      </c>
      <c r="I296" s="47">
        <f t="shared" si="7"/>
        <v>560.0265112891478</v>
      </c>
      <c r="L296" s="19"/>
    </row>
    <row r="297" spans="1:12" s="24" customFormat="1" ht="12.75" customHeight="1">
      <c r="A297" s="25" t="s">
        <v>165</v>
      </c>
      <c r="B297" s="22">
        <v>2003</v>
      </c>
      <c r="C297" s="25" t="s">
        <v>224</v>
      </c>
      <c r="D297" s="25"/>
      <c r="E297" s="25"/>
      <c r="F297" s="19">
        <v>2.386</v>
      </c>
      <c r="G297" s="83"/>
      <c r="H297" s="120">
        <f>938.723</f>
        <v>938.723</v>
      </c>
      <c r="I297" s="47">
        <f t="shared" si="7"/>
        <v>393.42958927074596</v>
      </c>
      <c r="L297" s="19"/>
    </row>
    <row r="298" spans="1:12" s="24" customFormat="1" ht="12.75" customHeight="1">
      <c r="A298" s="25" t="s">
        <v>165</v>
      </c>
      <c r="B298" s="22">
        <v>2003</v>
      </c>
      <c r="C298" s="25" t="s">
        <v>228</v>
      </c>
      <c r="D298" s="25"/>
      <c r="E298" s="25"/>
      <c r="F298" s="19">
        <v>0.392</v>
      </c>
      <c r="G298" s="83" t="s">
        <v>10</v>
      </c>
      <c r="H298" s="120">
        <f>190.891</f>
        <v>190.891</v>
      </c>
      <c r="I298" s="47">
        <f t="shared" si="7"/>
        <v>486.96683673469386</v>
      </c>
      <c r="L298" s="19"/>
    </row>
    <row r="299" spans="1:12" s="24" customFormat="1" ht="12.75" customHeight="1">
      <c r="A299" s="25" t="s">
        <v>165</v>
      </c>
      <c r="B299" s="22">
        <v>2003</v>
      </c>
      <c r="C299" s="25" t="s">
        <v>227</v>
      </c>
      <c r="D299" s="25"/>
      <c r="E299" s="25"/>
      <c r="F299" s="19">
        <v>0.042</v>
      </c>
      <c r="G299" s="83" t="s">
        <v>10</v>
      </c>
      <c r="H299" s="120">
        <f>11.806</f>
        <v>11.806</v>
      </c>
      <c r="I299" s="47">
        <f t="shared" si="7"/>
        <v>281.0952380952381</v>
      </c>
      <c r="L299" s="19"/>
    </row>
    <row r="300" spans="1:12" s="24" customFormat="1" ht="12.75" customHeight="1">
      <c r="A300" s="25"/>
      <c r="B300" s="22"/>
      <c r="C300" s="25"/>
      <c r="D300" s="25"/>
      <c r="E300" s="25"/>
      <c r="F300" s="19"/>
      <c r="G300" s="83"/>
      <c r="H300" s="120"/>
      <c r="I300" s="19"/>
      <c r="L300" s="229"/>
    </row>
    <row r="301" spans="1:12" s="24" customFormat="1" ht="12.75" customHeight="1">
      <c r="A301" s="25" t="s">
        <v>165</v>
      </c>
      <c r="B301" s="22">
        <v>2004</v>
      </c>
      <c r="C301" s="25" t="s">
        <v>225</v>
      </c>
      <c r="D301" s="25" t="s">
        <v>42</v>
      </c>
      <c r="E301" s="25"/>
      <c r="F301" s="19">
        <v>77.87</v>
      </c>
      <c r="G301" s="83"/>
      <c r="H301" s="120">
        <v>25637.519</v>
      </c>
      <c r="I301" s="47">
        <f aca="true" t="shared" si="8" ref="I301:I314">$H301/$F301</f>
        <v>329.23486580197766</v>
      </c>
      <c r="L301" s="83"/>
    </row>
    <row r="302" spans="1:12" s="24" customFormat="1" ht="12.75" customHeight="1">
      <c r="A302" s="25" t="s">
        <v>165</v>
      </c>
      <c r="B302" s="22">
        <v>2004</v>
      </c>
      <c r="C302" s="25" t="s">
        <v>218</v>
      </c>
      <c r="D302" s="25"/>
      <c r="E302" s="25"/>
      <c r="F302" s="19">
        <v>54.309</v>
      </c>
      <c r="G302" s="83"/>
      <c r="H302" s="120">
        <v>31184.642</v>
      </c>
      <c r="I302" s="47">
        <f t="shared" si="8"/>
        <v>574.2076267285349</v>
      </c>
      <c r="L302" s="83"/>
    </row>
    <row r="303" spans="1:12" s="24" customFormat="1" ht="12.75" customHeight="1">
      <c r="A303" s="25" t="s">
        <v>165</v>
      </c>
      <c r="B303" s="22">
        <v>2004</v>
      </c>
      <c r="C303" s="25" t="s">
        <v>217</v>
      </c>
      <c r="D303" s="25"/>
      <c r="E303" s="25"/>
      <c r="F303" s="19">
        <v>51.63</v>
      </c>
      <c r="G303" s="83"/>
      <c r="H303" s="120">
        <v>36904.685</v>
      </c>
      <c r="I303" s="47">
        <f t="shared" si="8"/>
        <v>714.7914971915552</v>
      </c>
      <c r="L303" s="83"/>
    </row>
    <row r="304" spans="1:12" s="24" customFormat="1" ht="12.75" customHeight="1">
      <c r="A304" s="25" t="s">
        <v>165</v>
      </c>
      <c r="B304" s="22">
        <v>2004</v>
      </c>
      <c r="C304" s="25" t="s">
        <v>216</v>
      </c>
      <c r="E304" s="25"/>
      <c r="F304" s="19">
        <v>45.517</v>
      </c>
      <c r="G304" s="83"/>
      <c r="H304" s="120">
        <v>43217.708</v>
      </c>
      <c r="I304" s="47">
        <f t="shared" si="8"/>
        <v>949.4849836324888</v>
      </c>
      <c r="L304" s="83"/>
    </row>
    <row r="305" spans="1:12" s="24" customFormat="1" ht="12.75" customHeight="1">
      <c r="A305" s="25" t="s">
        <v>165</v>
      </c>
      <c r="B305" s="22">
        <v>2004</v>
      </c>
      <c r="C305" s="25" t="s">
        <v>222</v>
      </c>
      <c r="D305" s="25"/>
      <c r="E305" s="25"/>
      <c r="F305" s="19">
        <v>22.48</v>
      </c>
      <c r="G305" s="83"/>
      <c r="H305" s="120">
        <v>11402.943</v>
      </c>
      <c r="I305" s="47">
        <f t="shared" si="8"/>
        <v>507.24835409252665</v>
      </c>
      <c r="L305" s="83"/>
    </row>
    <row r="306" spans="1:12" s="24" customFormat="1" ht="12.75" customHeight="1">
      <c r="A306" s="25" t="s">
        <v>165</v>
      </c>
      <c r="B306" s="22">
        <v>2004</v>
      </c>
      <c r="C306" s="25" t="s">
        <v>220</v>
      </c>
      <c r="D306" s="25"/>
      <c r="E306" s="25"/>
      <c r="F306" s="19">
        <v>20.94</v>
      </c>
      <c r="G306" s="83"/>
      <c r="H306" s="120">
        <v>6370.565</v>
      </c>
      <c r="I306" s="47">
        <f t="shared" si="8"/>
        <v>304.22946513849087</v>
      </c>
      <c r="L306" s="83"/>
    </row>
    <row r="307" spans="1:12" s="24" customFormat="1" ht="12.75" customHeight="1">
      <c r="A307" s="25" t="s">
        <v>165</v>
      </c>
      <c r="B307" s="22">
        <v>2004</v>
      </c>
      <c r="C307" s="25" t="s">
        <v>223</v>
      </c>
      <c r="D307" s="25"/>
      <c r="E307" s="25"/>
      <c r="F307" s="19">
        <v>17.857</v>
      </c>
      <c r="G307" s="83"/>
      <c r="H307" s="120">
        <v>10311.8</v>
      </c>
      <c r="I307" s="47">
        <f t="shared" si="8"/>
        <v>577.4654197233577</v>
      </c>
      <c r="L307" s="83"/>
    </row>
    <row r="308" spans="1:12" s="24" customFormat="1" ht="12.75" customHeight="1">
      <c r="A308" s="25" t="s">
        <v>165</v>
      </c>
      <c r="B308" s="22">
        <v>2004</v>
      </c>
      <c r="C308" s="25" t="s">
        <v>219</v>
      </c>
      <c r="D308" s="25"/>
      <c r="E308" s="25"/>
      <c r="F308" s="19">
        <v>17.375</v>
      </c>
      <c r="G308" s="83"/>
      <c r="H308" s="120">
        <v>11087.956</v>
      </c>
      <c r="I308" s="47">
        <f t="shared" si="8"/>
        <v>638.1557410071943</v>
      </c>
      <c r="L308" s="83"/>
    </row>
    <row r="309" spans="1:12" s="24" customFormat="1" ht="12.75" customHeight="1">
      <c r="A309" s="25" t="s">
        <v>165</v>
      </c>
      <c r="B309" s="22">
        <v>2004</v>
      </c>
      <c r="C309" s="25" t="s">
        <v>221</v>
      </c>
      <c r="D309" s="25"/>
      <c r="E309" s="25"/>
      <c r="F309" s="19">
        <v>16.896</v>
      </c>
      <c r="G309" s="83"/>
      <c r="H309" s="120">
        <v>16076.356</v>
      </c>
      <c r="I309" s="47">
        <f t="shared" si="8"/>
        <v>951.4888731060605</v>
      </c>
      <c r="L309" s="83"/>
    </row>
    <row r="310" spans="1:12" s="24" customFormat="1" ht="12.75" customHeight="1">
      <c r="A310" s="25" t="s">
        <v>165</v>
      </c>
      <c r="B310" s="22">
        <v>2004</v>
      </c>
      <c r="C310" s="25" t="s">
        <v>684</v>
      </c>
      <c r="D310" s="25"/>
      <c r="E310" s="25"/>
      <c r="F310" s="19">
        <v>7.932</v>
      </c>
      <c r="G310" s="83"/>
      <c r="H310" s="120">
        <v>19176.721</v>
      </c>
      <c r="I310" s="47">
        <f t="shared" si="8"/>
        <v>2417.6400655572365</v>
      </c>
      <c r="L310" s="83"/>
    </row>
    <row r="311" spans="1:12" s="24" customFormat="1" ht="12.75" customHeight="1">
      <c r="A311" s="25" t="s">
        <v>165</v>
      </c>
      <c r="B311" s="22">
        <v>2004</v>
      </c>
      <c r="C311" s="25" t="s">
        <v>226</v>
      </c>
      <c r="D311" s="25"/>
      <c r="E311" s="25"/>
      <c r="F311" s="19">
        <v>4.826</v>
      </c>
      <c r="G311" s="83"/>
      <c r="H311" s="120">
        <v>4314.655</v>
      </c>
      <c r="I311" s="47">
        <f t="shared" si="8"/>
        <v>894.0437215084957</v>
      </c>
      <c r="L311" s="83"/>
    </row>
    <row r="312" spans="1:12" s="24" customFormat="1" ht="12.75" customHeight="1">
      <c r="A312" s="25" t="s">
        <v>165</v>
      </c>
      <c r="B312" s="22">
        <v>2004</v>
      </c>
      <c r="C312" s="25" t="s">
        <v>224</v>
      </c>
      <c r="D312" s="25"/>
      <c r="E312" s="25"/>
      <c r="F312" s="19">
        <v>4.697</v>
      </c>
      <c r="G312" s="83"/>
      <c r="H312" s="120">
        <v>2211.843</v>
      </c>
      <c r="I312" s="47">
        <f t="shared" si="8"/>
        <v>470.90547157760267</v>
      </c>
      <c r="L312" s="83"/>
    </row>
    <row r="313" spans="1:12" s="24" customFormat="1" ht="12.75" customHeight="1">
      <c r="A313" s="25" t="s">
        <v>165</v>
      </c>
      <c r="B313" s="22">
        <v>2004</v>
      </c>
      <c r="C313" s="25" t="s">
        <v>228</v>
      </c>
      <c r="D313" s="25"/>
      <c r="E313" s="25"/>
      <c r="F313" s="19">
        <v>0.311</v>
      </c>
      <c r="G313" s="83" t="s">
        <v>10</v>
      </c>
      <c r="H313" s="120">
        <v>140.215</v>
      </c>
      <c r="I313" s="47">
        <f t="shared" si="8"/>
        <v>450.85209003215436</v>
      </c>
      <c r="L313" s="83"/>
    </row>
    <row r="314" spans="1:12" s="24" customFormat="1" ht="12.75" customHeight="1">
      <c r="A314" s="25" t="s">
        <v>165</v>
      </c>
      <c r="B314" s="22">
        <v>2004</v>
      </c>
      <c r="C314" s="25" t="s">
        <v>227</v>
      </c>
      <c r="D314" s="25"/>
      <c r="E314" s="25"/>
      <c r="F314" s="19">
        <v>0.027</v>
      </c>
      <c r="G314" s="83" t="s">
        <v>10</v>
      </c>
      <c r="H314" s="120">
        <v>18.716</v>
      </c>
      <c r="I314" s="47">
        <f t="shared" si="8"/>
        <v>693.1851851851852</v>
      </c>
      <c r="L314" s="83"/>
    </row>
    <row r="315" spans="1:12" s="24" customFormat="1" ht="12.75" customHeight="1">
      <c r="A315" s="25"/>
      <c r="B315" s="22"/>
      <c r="C315" s="25"/>
      <c r="D315" s="25"/>
      <c r="E315" s="25"/>
      <c r="F315" s="19"/>
      <c r="G315" s="83"/>
      <c r="H315" s="120"/>
      <c r="I315" s="19"/>
      <c r="L315" s="83"/>
    </row>
    <row r="316" spans="1:12" s="24" customFormat="1" ht="3" customHeight="1">
      <c r="A316" s="25"/>
      <c r="B316" s="22"/>
      <c r="C316" s="25"/>
      <c r="D316" s="25"/>
      <c r="E316" s="25"/>
      <c r="F316" s="19"/>
      <c r="G316" s="83"/>
      <c r="H316" s="120"/>
      <c r="I316" s="19"/>
      <c r="L316" s="83"/>
    </row>
    <row r="317" spans="1:12" s="24" customFormat="1" ht="12.75" customHeight="1">
      <c r="A317" s="8" t="s">
        <v>17</v>
      </c>
      <c r="B317" s="22">
        <v>2003</v>
      </c>
      <c r="C317" s="9" t="s">
        <v>518</v>
      </c>
      <c r="D317" s="10" t="s">
        <v>450</v>
      </c>
      <c r="E317" s="266"/>
      <c r="F317" s="345">
        <v>0.09</v>
      </c>
      <c r="G317" s="326" t="s">
        <v>10</v>
      </c>
      <c r="H317" s="363">
        <v>9.6</v>
      </c>
      <c r="I317" s="365">
        <f>$H317/$F317</f>
        <v>106.66666666666667</v>
      </c>
      <c r="L317" s="83"/>
    </row>
    <row r="318" spans="1:12" s="24" customFormat="1" ht="12.75" customHeight="1">
      <c r="A318" s="8" t="s">
        <v>17</v>
      </c>
      <c r="B318" s="22">
        <v>2003</v>
      </c>
      <c r="C318" s="9" t="s">
        <v>3</v>
      </c>
      <c r="D318" s="10" t="s">
        <v>325</v>
      </c>
      <c r="E318" s="267"/>
      <c r="F318" s="345"/>
      <c r="G318" s="326"/>
      <c r="H318" s="363"/>
      <c r="I318" s="365" t="e">
        <f>$H318/$F318</f>
        <v>#DIV/0!</v>
      </c>
      <c r="L318" s="83"/>
    </row>
    <row r="319" spans="1:12" s="24" customFormat="1" ht="12.75" customHeight="1">
      <c r="A319" s="8" t="s">
        <v>17</v>
      </c>
      <c r="B319" s="22">
        <v>2003</v>
      </c>
      <c r="C319" s="9" t="s">
        <v>726</v>
      </c>
      <c r="D319" s="10" t="s">
        <v>329</v>
      </c>
      <c r="E319" s="267"/>
      <c r="F319" s="345"/>
      <c r="G319" s="326"/>
      <c r="H319" s="363"/>
      <c r="I319" s="365" t="e">
        <f>$H319/$F319</f>
        <v>#DIV/0!</v>
      </c>
      <c r="L319" s="83"/>
    </row>
    <row r="320" spans="1:12" s="24" customFormat="1" ht="12.75" customHeight="1">
      <c r="A320" s="8" t="s">
        <v>17</v>
      </c>
      <c r="B320" s="22">
        <v>2003</v>
      </c>
      <c r="C320" s="9" t="s">
        <v>184</v>
      </c>
      <c r="D320" s="10" t="s">
        <v>320</v>
      </c>
      <c r="E320" s="267"/>
      <c r="F320" s="345"/>
      <c r="G320" s="326"/>
      <c r="H320" s="363"/>
      <c r="I320" s="365"/>
      <c r="L320" s="83"/>
    </row>
    <row r="321" spans="1:12" s="24" customFormat="1" ht="12.75" customHeight="1">
      <c r="A321" s="8" t="s">
        <v>17</v>
      </c>
      <c r="B321" s="22">
        <v>2003</v>
      </c>
      <c r="C321" s="3" t="s">
        <v>7</v>
      </c>
      <c r="D321" s="11" t="s">
        <v>516</v>
      </c>
      <c r="E321" s="267"/>
      <c r="F321" s="345"/>
      <c r="G321" s="326"/>
      <c r="H321" s="363"/>
      <c r="I321" s="365"/>
      <c r="L321" s="83"/>
    </row>
    <row r="322" spans="1:12" s="24" customFormat="1" ht="12.75" customHeight="1">
      <c r="A322" s="8" t="s">
        <v>17</v>
      </c>
      <c r="B322" s="22">
        <v>2003</v>
      </c>
      <c r="C322" s="9" t="s">
        <v>4</v>
      </c>
      <c r="D322" s="75" t="s">
        <v>447</v>
      </c>
      <c r="E322" s="267"/>
      <c r="F322" s="345"/>
      <c r="G322" s="326"/>
      <c r="H322" s="363"/>
      <c r="I322" s="365"/>
      <c r="L322" s="83"/>
    </row>
    <row r="323" spans="1:12" s="24" customFormat="1" ht="12.75" customHeight="1">
      <c r="A323" s="8" t="s">
        <v>17</v>
      </c>
      <c r="B323" s="22">
        <v>2003</v>
      </c>
      <c r="C323" s="9"/>
      <c r="D323" s="10" t="s">
        <v>482</v>
      </c>
      <c r="E323" s="268"/>
      <c r="F323" s="345"/>
      <c r="G323" s="326"/>
      <c r="H323" s="363"/>
      <c r="I323" s="365" t="e">
        <f>$H323/$F323</f>
        <v>#DIV/0!</v>
      </c>
      <c r="L323" s="83"/>
    </row>
    <row r="324" spans="1:12" s="24" customFormat="1" ht="12.75" customHeight="1">
      <c r="A324" s="25"/>
      <c r="B324" s="22"/>
      <c r="C324" s="25"/>
      <c r="D324" s="25"/>
      <c r="E324" s="25"/>
      <c r="F324" s="19"/>
      <c r="G324" s="83"/>
      <c r="H324" s="120"/>
      <c r="I324" s="19"/>
      <c r="L324" s="83"/>
    </row>
    <row r="325" spans="1:12" s="24" customFormat="1" ht="12.75" customHeight="1">
      <c r="A325" s="8" t="s">
        <v>17</v>
      </c>
      <c r="B325" s="22">
        <v>2004</v>
      </c>
      <c r="C325" s="9" t="s">
        <v>518</v>
      </c>
      <c r="D325" s="10" t="s">
        <v>450</v>
      </c>
      <c r="E325" s="266"/>
      <c r="F325" s="345">
        <v>0.025</v>
      </c>
      <c r="G325" s="326" t="s">
        <v>10</v>
      </c>
      <c r="H325" s="363">
        <f>64.212/10</f>
        <v>6.421200000000001</v>
      </c>
      <c r="I325" s="365">
        <f>$H325/$F325</f>
        <v>256.848</v>
      </c>
      <c r="L325" s="83"/>
    </row>
    <row r="326" spans="1:12" s="24" customFormat="1" ht="12.75" customHeight="1">
      <c r="A326" s="8" t="s">
        <v>17</v>
      </c>
      <c r="B326" s="22">
        <v>2004</v>
      </c>
      <c r="C326" s="9" t="s">
        <v>3</v>
      </c>
      <c r="D326" s="10" t="s">
        <v>325</v>
      </c>
      <c r="E326" s="267"/>
      <c r="F326" s="345"/>
      <c r="G326" s="326"/>
      <c r="H326" s="363"/>
      <c r="I326" s="365"/>
      <c r="L326" s="83"/>
    </row>
    <row r="327" spans="1:12" s="24" customFormat="1" ht="12.75" customHeight="1">
      <c r="A327" s="8" t="s">
        <v>17</v>
      </c>
      <c r="B327" s="22">
        <v>2004</v>
      </c>
      <c r="C327" s="9" t="s">
        <v>726</v>
      </c>
      <c r="D327" s="10" t="s">
        <v>329</v>
      </c>
      <c r="E327" s="267"/>
      <c r="F327" s="345"/>
      <c r="G327" s="326"/>
      <c r="H327" s="363"/>
      <c r="I327" s="365"/>
      <c r="L327" s="83"/>
    </row>
    <row r="328" spans="1:12" s="24" customFormat="1" ht="12.75" customHeight="1">
      <c r="A328" s="8" t="s">
        <v>17</v>
      </c>
      <c r="B328" s="22">
        <v>2004</v>
      </c>
      <c r="C328" s="9" t="s">
        <v>184</v>
      </c>
      <c r="D328" s="10" t="s">
        <v>320</v>
      </c>
      <c r="E328" s="267"/>
      <c r="F328" s="345"/>
      <c r="G328" s="326"/>
      <c r="H328" s="363"/>
      <c r="I328" s="365"/>
      <c r="L328" s="83"/>
    </row>
    <row r="329" spans="1:12" s="24" customFormat="1" ht="12.75" customHeight="1">
      <c r="A329" s="8" t="s">
        <v>17</v>
      </c>
      <c r="B329" s="22">
        <v>2004</v>
      </c>
      <c r="C329" s="3" t="s">
        <v>7</v>
      </c>
      <c r="D329" s="11" t="s">
        <v>516</v>
      </c>
      <c r="E329" s="267"/>
      <c r="F329" s="345"/>
      <c r="G329" s="326"/>
      <c r="H329" s="363"/>
      <c r="I329" s="365" t="e">
        <f>$H329/$F329</f>
        <v>#DIV/0!</v>
      </c>
      <c r="L329" s="83"/>
    </row>
    <row r="330" spans="1:12" s="24" customFormat="1" ht="12.75" customHeight="1">
      <c r="A330" s="8" t="s">
        <v>17</v>
      </c>
      <c r="B330" s="22">
        <v>2004</v>
      </c>
      <c r="C330" s="9" t="s">
        <v>4</v>
      </c>
      <c r="D330" s="75" t="s">
        <v>447</v>
      </c>
      <c r="E330" s="267"/>
      <c r="F330" s="345"/>
      <c r="G330" s="326"/>
      <c r="H330" s="363"/>
      <c r="I330" s="365" t="e">
        <f>$H330/$F330</f>
        <v>#DIV/0!</v>
      </c>
      <c r="L330" s="83"/>
    </row>
    <row r="331" spans="1:12" s="24" customFormat="1" ht="12.75" customHeight="1">
      <c r="A331" s="8" t="s">
        <v>17</v>
      </c>
      <c r="B331" s="22">
        <v>2004</v>
      </c>
      <c r="C331" s="9"/>
      <c r="D331" s="10" t="s">
        <v>482</v>
      </c>
      <c r="E331" s="268"/>
      <c r="F331" s="345"/>
      <c r="G331" s="326"/>
      <c r="H331" s="363"/>
      <c r="I331" s="365" t="e">
        <f>$H331/$F331</f>
        <v>#DIV/0!</v>
      </c>
      <c r="L331" s="83"/>
    </row>
    <row r="332" spans="1:12" s="24" customFormat="1" ht="12.75" customHeight="1">
      <c r="A332" s="25"/>
      <c r="B332" s="22"/>
      <c r="C332" s="25"/>
      <c r="D332" s="25"/>
      <c r="E332" s="25"/>
      <c r="F332" s="19"/>
      <c r="G332" s="83"/>
      <c r="H332" s="120"/>
      <c r="I332" s="19"/>
      <c r="L332" s="83"/>
    </row>
    <row r="333" spans="1:12" s="24" customFormat="1" ht="12.75" customHeight="1">
      <c r="A333" s="25" t="s">
        <v>504</v>
      </c>
      <c r="B333" s="22">
        <v>2003</v>
      </c>
      <c r="C333" s="28" t="s">
        <v>506</v>
      </c>
      <c r="D333" s="75" t="s">
        <v>320</v>
      </c>
      <c r="E333" s="75"/>
      <c r="F333" s="42">
        <v>5</v>
      </c>
      <c r="G333" s="83"/>
      <c r="H333" s="120">
        <f>32*10</f>
        <v>320</v>
      </c>
      <c r="I333" s="47">
        <f>$H333/$F333</f>
        <v>64</v>
      </c>
      <c r="L333" s="83"/>
    </row>
    <row r="334" spans="1:12" s="24" customFormat="1" ht="12.75" customHeight="1">
      <c r="A334" s="25" t="s">
        <v>504</v>
      </c>
      <c r="B334" s="22">
        <v>2003</v>
      </c>
      <c r="C334" s="28" t="s">
        <v>505</v>
      </c>
      <c r="D334" s="75" t="s">
        <v>507</v>
      </c>
      <c r="E334" s="75"/>
      <c r="F334" s="42">
        <v>3</v>
      </c>
      <c r="G334" s="83"/>
      <c r="H334" s="120">
        <f>19*10</f>
        <v>190</v>
      </c>
      <c r="I334" s="47">
        <f>$H334/$F334</f>
        <v>63.333333333333336</v>
      </c>
      <c r="L334" s="83"/>
    </row>
    <row r="335" spans="1:12" s="24" customFormat="1" ht="12.75" customHeight="1">
      <c r="A335" s="25" t="s">
        <v>504</v>
      </c>
      <c r="B335" s="22">
        <v>2003</v>
      </c>
      <c r="C335" s="28" t="s">
        <v>4</v>
      </c>
      <c r="D335" s="75" t="s">
        <v>508</v>
      </c>
      <c r="E335" s="75"/>
      <c r="F335" s="42">
        <v>2</v>
      </c>
      <c r="G335" s="83"/>
      <c r="H335" s="120">
        <f>12*10</f>
        <v>120</v>
      </c>
      <c r="I335" s="47">
        <f>$H335/$F335</f>
        <v>60</v>
      </c>
      <c r="L335" s="83"/>
    </row>
    <row r="336" spans="1:12" s="24" customFormat="1" ht="12.75" customHeight="1">
      <c r="A336" s="25"/>
      <c r="B336" s="22"/>
      <c r="C336" s="25"/>
      <c r="D336" s="25"/>
      <c r="E336" s="25"/>
      <c r="F336" s="19"/>
      <c r="G336" s="83"/>
      <c r="H336" s="120"/>
      <c r="I336" s="19"/>
      <c r="L336" s="83"/>
    </row>
    <row r="337" spans="1:12" s="24" customFormat="1" ht="12.75" customHeight="1">
      <c r="A337" s="25" t="s">
        <v>94</v>
      </c>
      <c r="B337" s="22">
        <v>2003</v>
      </c>
      <c r="C337" s="25" t="s">
        <v>115</v>
      </c>
      <c r="D337" s="8" t="s">
        <v>42</v>
      </c>
      <c r="E337" s="25"/>
      <c r="F337" s="19">
        <v>15.41362251</v>
      </c>
      <c r="G337" s="83" t="s">
        <v>180</v>
      </c>
      <c r="H337" s="120">
        <v>7712.789</v>
      </c>
      <c r="I337" s="21">
        <f>$H337/$F337</f>
        <v>500.3878222005321</v>
      </c>
      <c r="L337" s="83"/>
    </row>
    <row r="338" spans="1:12" s="24" customFormat="1" ht="12.75" customHeight="1">
      <c r="A338" s="25" t="s">
        <v>94</v>
      </c>
      <c r="B338" s="22">
        <v>2003</v>
      </c>
      <c r="C338" s="25" t="s">
        <v>128</v>
      </c>
      <c r="D338" s="8"/>
      <c r="E338" s="25"/>
      <c r="F338" s="19">
        <v>2.3363926299999997</v>
      </c>
      <c r="G338" s="83" t="s">
        <v>180</v>
      </c>
      <c r="H338" s="120">
        <v>480.598</v>
      </c>
      <c r="I338" s="21">
        <f aca="true" t="shared" si="9" ref="I338:I376">$H338/$F338</f>
        <v>205.70087143272664</v>
      </c>
      <c r="L338" s="83"/>
    </row>
    <row r="339" spans="1:12" s="24" customFormat="1" ht="12.75" customHeight="1">
      <c r="A339" s="25" t="s">
        <v>94</v>
      </c>
      <c r="B339" s="22">
        <v>2003</v>
      </c>
      <c r="C339" s="25" t="s">
        <v>117</v>
      </c>
      <c r="D339" s="8"/>
      <c r="E339" s="25"/>
      <c r="F339" s="19">
        <v>1.2286960399999998</v>
      </c>
      <c r="G339" s="83" t="s">
        <v>180</v>
      </c>
      <c r="H339" s="120">
        <v>297.24</v>
      </c>
      <c r="I339" s="21">
        <f t="shared" si="9"/>
        <v>241.91499795181244</v>
      </c>
      <c r="L339" s="83"/>
    </row>
    <row r="340" spans="1:12" s="24" customFormat="1" ht="12.75" customHeight="1">
      <c r="A340" s="25" t="s">
        <v>94</v>
      </c>
      <c r="B340" s="22">
        <v>2003</v>
      </c>
      <c r="C340" s="25" t="s">
        <v>113</v>
      </c>
      <c r="D340" s="8"/>
      <c r="E340" s="25"/>
      <c r="F340" s="19">
        <v>0.86861918</v>
      </c>
      <c r="G340" s="83" t="s">
        <v>180</v>
      </c>
      <c r="H340" s="120">
        <v>285.986</v>
      </c>
      <c r="I340" s="21">
        <f t="shared" si="9"/>
        <v>329.2420966343386</v>
      </c>
      <c r="L340" s="83"/>
    </row>
    <row r="341" spans="1:12" s="24" customFormat="1" ht="12.75" customHeight="1">
      <c r="A341" s="25" t="s">
        <v>94</v>
      </c>
      <c r="B341" s="22">
        <v>2003</v>
      </c>
      <c r="C341" s="25" t="s">
        <v>118</v>
      </c>
      <c r="D341" s="8"/>
      <c r="E341" s="25"/>
      <c r="F341" s="19">
        <v>0.48689641</v>
      </c>
      <c r="G341" s="83" t="s">
        <v>181</v>
      </c>
      <c r="H341" s="120">
        <v>125.973</v>
      </c>
      <c r="I341" s="21">
        <f t="shared" si="9"/>
        <v>258.7264917397933</v>
      </c>
      <c r="L341" s="83"/>
    </row>
    <row r="342" spans="1:12" s="24" customFormat="1" ht="12.75" customHeight="1">
      <c r="A342" s="25" t="s">
        <v>94</v>
      </c>
      <c r="B342" s="22">
        <v>2003</v>
      </c>
      <c r="C342" s="25" t="s">
        <v>122</v>
      </c>
      <c r="D342" s="8"/>
      <c r="E342" s="25"/>
      <c r="F342" s="19">
        <v>0.48295104</v>
      </c>
      <c r="G342" s="83" t="s">
        <v>181</v>
      </c>
      <c r="H342" s="120">
        <v>273.901</v>
      </c>
      <c r="I342" s="21">
        <f t="shared" si="9"/>
        <v>567.1403047397931</v>
      </c>
      <c r="L342" s="83"/>
    </row>
    <row r="343" spans="1:12" s="24" customFormat="1" ht="12.75" customHeight="1">
      <c r="A343" s="25" t="s">
        <v>94</v>
      </c>
      <c r="B343" s="22">
        <v>2003</v>
      </c>
      <c r="C343" s="25" t="s">
        <v>103</v>
      </c>
      <c r="D343" s="8"/>
      <c r="E343" s="25"/>
      <c r="F343" s="19">
        <v>0.468611</v>
      </c>
      <c r="G343" s="83" t="s">
        <v>181</v>
      </c>
      <c r="H343" s="120">
        <v>521.594</v>
      </c>
      <c r="I343" s="21">
        <f t="shared" si="9"/>
        <v>1113.0639272232195</v>
      </c>
      <c r="L343" s="83"/>
    </row>
    <row r="344" spans="1:12" s="24" customFormat="1" ht="12.75" customHeight="1">
      <c r="A344" s="25" t="s">
        <v>94</v>
      </c>
      <c r="B344" s="22">
        <v>2003</v>
      </c>
      <c r="C344" s="25" t="s">
        <v>142</v>
      </c>
      <c r="E344" s="25"/>
      <c r="F344" s="19">
        <v>0.44705517999999994</v>
      </c>
      <c r="G344" s="83" t="s">
        <v>181</v>
      </c>
      <c r="H344" s="120">
        <v>181.327</v>
      </c>
      <c r="I344" s="21">
        <f t="shared" si="9"/>
        <v>405.6031740869215</v>
      </c>
      <c r="L344" s="83"/>
    </row>
    <row r="345" spans="1:12" s="24" customFormat="1" ht="12.75" customHeight="1">
      <c r="A345" s="25" t="s">
        <v>94</v>
      </c>
      <c r="B345" s="22">
        <v>2003</v>
      </c>
      <c r="C345" s="25" t="s">
        <v>114</v>
      </c>
      <c r="D345" s="8"/>
      <c r="E345" s="25"/>
      <c r="F345" s="19">
        <v>0.3294262399999999</v>
      </c>
      <c r="G345" s="83" t="s">
        <v>181</v>
      </c>
      <c r="H345" s="120">
        <v>146.895</v>
      </c>
      <c r="I345" s="21">
        <f t="shared" si="9"/>
        <v>445.91165536782995</v>
      </c>
      <c r="L345" s="83"/>
    </row>
    <row r="346" spans="1:12" s="24" customFormat="1" ht="12.75" customHeight="1">
      <c r="A346" s="25" t="s">
        <v>94</v>
      </c>
      <c r="B346" s="22">
        <v>2003</v>
      </c>
      <c r="C346" s="25" t="s">
        <v>110</v>
      </c>
      <c r="D346" s="8"/>
      <c r="E346" s="25"/>
      <c r="F346" s="19">
        <v>0.23530935999999997</v>
      </c>
      <c r="G346" s="83" t="s">
        <v>181</v>
      </c>
      <c r="H346" s="120">
        <v>158.717</v>
      </c>
      <c r="I346" s="21">
        <f t="shared" si="9"/>
        <v>674.5035556596645</v>
      </c>
      <c r="L346" s="83"/>
    </row>
    <row r="347" spans="1:12" s="24" customFormat="1" ht="12.75" customHeight="1">
      <c r="A347" s="25" t="s">
        <v>94</v>
      </c>
      <c r="B347" s="22">
        <v>2003</v>
      </c>
      <c r="C347" s="25" t="s">
        <v>102</v>
      </c>
      <c r="D347" s="8"/>
      <c r="E347" s="25"/>
      <c r="F347" s="19">
        <v>0.10695828</v>
      </c>
      <c r="G347" s="83" t="s">
        <v>181</v>
      </c>
      <c r="H347" s="120">
        <v>47.939</v>
      </c>
      <c r="I347" s="21">
        <f t="shared" si="9"/>
        <v>448.20279458495406</v>
      </c>
      <c r="L347" s="83"/>
    </row>
    <row r="348" spans="1:12" s="24" customFormat="1" ht="12.75" customHeight="1">
      <c r="A348" s="25" t="s">
        <v>94</v>
      </c>
      <c r="B348" s="22">
        <v>2003</v>
      </c>
      <c r="C348" s="25" t="s">
        <v>111</v>
      </c>
      <c r="D348" s="8"/>
      <c r="E348" s="25"/>
      <c r="F348" s="19">
        <v>0.10296</v>
      </c>
      <c r="G348" s="83" t="s">
        <v>181</v>
      </c>
      <c r="H348" s="120">
        <v>19.655</v>
      </c>
      <c r="I348" s="21">
        <f t="shared" si="9"/>
        <v>190.8993783993784</v>
      </c>
      <c r="L348" s="83"/>
    </row>
    <row r="349" spans="1:12" s="24" customFormat="1" ht="12.75" customHeight="1">
      <c r="A349" s="25" t="s">
        <v>94</v>
      </c>
      <c r="B349" s="22">
        <v>2003</v>
      </c>
      <c r="C349" s="25" t="s">
        <v>98</v>
      </c>
      <c r="D349" s="8"/>
      <c r="E349" s="25"/>
      <c r="F349" s="19">
        <v>0.09978397</v>
      </c>
      <c r="G349" s="83" t="s">
        <v>181</v>
      </c>
      <c r="H349" s="120">
        <v>41.771</v>
      </c>
      <c r="I349" s="21">
        <f t="shared" si="9"/>
        <v>418.6143325425918</v>
      </c>
      <c r="L349" s="83"/>
    </row>
    <row r="350" spans="1:12" s="24" customFormat="1" ht="12.75" customHeight="1">
      <c r="A350" s="25" t="s">
        <v>94</v>
      </c>
      <c r="B350" s="22">
        <v>2003</v>
      </c>
      <c r="C350" s="25" t="s">
        <v>104</v>
      </c>
      <c r="D350" s="8"/>
      <c r="E350" s="25"/>
      <c r="F350" s="19">
        <v>0.09947223000000001</v>
      </c>
      <c r="G350" s="83" t="s">
        <v>181</v>
      </c>
      <c r="H350" s="120">
        <v>12.506</v>
      </c>
      <c r="I350" s="21">
        <f t="shared" si="9"/>
        <v>125.7235310799808</v>
      </c>
      <c r="L350" s="83"/>
    </row>
    <row r="351" spans="1:12" s="24" customFormat="1" ht="12.75" customHeight="1">
      <c r="A351" s="25" t="s">
        <v>94</v>
      </c>
      <c r="B351" s="22">
        <v>2003</v>
      </c>
      <c r="C351" s="25" t="s">
        <v>120</v>
      </c>
      <c r="D351" s="8"/>
      <c r="E351" s="25"/>
      <c r="F351" s="19">
        <v>0.08222357</v>
      </c>
      <c r="G351" s="83" t="s">
        <v>181</v>
      </c>
      <c r="H351" s="120">
        <v>38.851</v>
      </c>
      <c r="I351" s="21">
        <f t="shared" si="9"/>
        <v>472.50441692084155</v>
      </c>
      <c r="L351" s="83"/>
    </row>
    <row r="352" spans="1:12" s="24" customFormat="1" ht="12.75" customHeight="1">
      <c r="A352" s="25" t="s">
        <v>94</v>
      </c>
      <c r="B352" s="22">
        <v>2003</v>
      </c>
      <c r="C352" s="25" t="s">
        <v>146</v>
      </c>
      <c r="D352" s="8"/>
      <c r="E352" s="25"/>
      <c r="F352" s="19">
        <v>0.07194616</v>
      </c>
      <c r="G352" s="83" t="s">
        <v>181</v>
      </c>
      <c r="H352" s="120">
        <v>20.728</v>
      </c>
      <c r="I352" s="21">
        <f t="shared" si="9"/>
        <v>288.104326902228</v>
      </c>
      <c r="L352" s="83"/>
    </row>
    <row r="353" spans="1:12" s="24" customFormat="1" ht="12.75" customHeight="1">
      <c r="A353" s="25" t="s">
        <v>94</v>
      </c>
      <c r="B353" s="22">
        <v>2003</v>
      </c>
      <c r="C353" s="25" t="s">
        <v>123</v>
      </c>
      <c r="D353" s="8"/>
      <c r="E353" s="25"/>
      <c r="F353" s="19">
        <v>0.06341335</v>
      </c>
      <c r="G353" s="83" t="s">
        <v>181</v>
      </c>
      <c r="H353" s="120">
        <v>48.179</v>
      </c>
      <c r="I353" s="21">
        <f t="shared" si="9"/>
        <v>759.7611543941458</v>
      </c>
      <c r="L353" s="83"/>
    </row>
    <row r="354" spans="1:12" s="24" customFormat="1" ht="12.75" customHeight="1">
      <c r="A354" s="25" t="s">
        <v>94</v>
      </c>
      <c r="B354" s="22">
        <v>2003</v>
      </c>
      <c r="C354" s="25" t="s">
        <v>106</v>
      </c>
      <c r="D354" s="8"/>
      <c r="E354" s="25"/>
      <c r="F354" s="19">
        <v>0.04570995</v>
      </c>
      <c r="G354" s="83" t="s">
        <v>181</v>
      </c>
      <c r="H354" s="120">
        <v>18.819</v>
      </c>
      <c r="I354" s="21">
        <f t="shared" si="9"/>
        <v>411.7046726150433</v>
      </c>
      <c r="L354" s="83"/>
    </row>
    <row r="355" spans="1:12" s="24" customFormat="1" ht="12.75" customHeight="1">
      <c r="A355" s="25" t="s">
        <v>94</v>
      </c>
      <c r="B355" s="22">
        <v>2003</v>
      </c>
      <c r="C355" s="25" t="s">
        <v>148</v>
      </c>
      <c r="D355" s="8"/>
      <c r="E355" s="25"/>
      <c r="F355" s="19">
        <v>0.029314999999999997</v>
      </c>
      <c r="G355" s="83" t="s">
        <v>181</v>
      </c>
      <c r="H355" s="120">
        <v>11.83</v>
      </c>
      <c r="I355" s="21">
        <f t="shared" si="9"/>
        <v>403.5476718403548</v>
      </c>
      <c r="L355" s="83"/>
    </row>
    <row r="356" spans="1:12" s="24" customFormat="1" ht="12.75" customHeight="1">
      <c r="A356" s="25" t="s">
        <v>94</v>
      </c>
      <c r="B356" s="22">
        <v>2003</v>
      </c>
      <c r="C356" s="25" t="s">
        <v>109</v>
      </c>
      <c r="D356" s="8"/>
      <c r="E356" s="25"/>
      <c r="F356" s="19">
        <v>0.026324869999999997</v>
      </c>
      <c r="G356" s="83" t="s">
        <v>181</v>
      </c>
      <c r="H356" s="120">
        <v>5.739</v>
      </c>
      <c r="I356" s="21">
        <f t="shared" si="9"/>
        <v>218.00677458236262</v>
      </c>
      <c r="L356" s="83"/>
    </row>
    <row r="357" spans="1:12" s="24" customFormat="1" ht="12.75" customHeight="1">
      <c r="A357" s="25" t="s">
        <v>94</v>
      </c>
      <c r="B357" s="22">
        <v>2003</v>
      </c>
      <c r="C357" s="25" t="s">
        <v>143</v>
      </c>
      <c r="D357" s="8"/>
      <c r="E357" s="25"/>
      <c r="F357" s="19">
        <v>0.014299999999999998</v>
      </c>
      <c r="G357" s="83" t="s">
        <v>181</v>
      </c>
      <c r="H357" s="120">
        <v>10.5</v>
      </c>
      <c r="I357" s="21">
        <f t="shared" si="9"/>
        <v>734.2657342657343</v>
      </c>
      <c r="L357" s="83"/>
    </row>
    <row r="358" spans="1:12" s="24" customFormat="1" ht="12.75" customHeight="1">
      <c r="A358" s="25" t="s">
        <v>94</v>
      </c>
      <c r="B358" s="22">
        <v>2003</v>
      </c>
      <c r="C358" s="25" t="s">
        <v>126</v>
      </c>
      <c r="D358" s="8"/>
      <c r="E358" s="25"/>
      <c r="F358" s="19">
        <v>0.013856699999999998</v>
      </c>
      <c r="G358" s="83" t="s">
        <v>181</v>
      </c>
      <c r="H358" s="120">
        <v>16.387</v>
      </c>
      <c r="I358" s="21">
        <f t="shared" si="9"/>
        <v>1182.6048048958269</v>
      </c>
      <c r="L358" s="83"/>
    </row>
    <row r="359" spans="1:12" s="24" customFormat="1" ht="12.75" customHeight="1">
      <c r="A359" s="25" t="s">
        <v>94</v>
      </c>
      <c r="B359" s="22">
        <v>2003</v>
      </c>
      <c r="C359" s="25" t="s">
        <v>107</v>
      </c>
      <c r="D359" s="8"/>
      <c r="E359" s="25"/>
      <c r="F359" s="19">
        <v>0.01282281</v>
      </c>
      <c r="G359" s="83" t="s">
        <v>181</v>
      </c>
      <c r="H359" s="120">
        <v>19.98</v>
      </c>
      <c r="I359" s="21">
        <f t="shared" si="9"/>
        <v>1558.160808746289</v>
      </c>
      <c r="L359" s="83"/>
    </row>
    <row r="360" spans="1:12" s="24" customFormat="1" ht="12.75" customHeight="1">
      <c r="A360" s="25" t="s">
        <v>94</v>
      </c>
      <c r="B360" s="22">
        <v>2003</v>
      </c>
      <c r="C360" s="25" t="s">
        <v>105</v>
      </c>
      <c r="D360" s="8"/>
      <c r="E360" s="25"/>
      <c r="F360" s="19">
        <v>0.008252530000000001</v>
      </c>
      <c r="G360" s="83" t="s">
        <v>181</v>
      </c>
      <c r="H360" s="120">
        <v>10.242</v>
      </c>
      <c r="I360" s="21">
        <f t="shared" si="9"/>
        <v>1241.0739494433828</v>
      </c>
      <c r="L360" s="83"/>
    </row>
    <row r="361" spans="1:12" s="24" customFormat="1" ht="12.75" customHeight="1">
      <c r="A361" s="25" t="s">
        <v>94</v>
      </c>
      <c r="B361" s="22">
        <v>2003</v>
      </c>
      <c r="C361" s="25" t="s">
        <v>112</v>
      </c>
      <c r="D361" s="8"/>
      <c r="E361" s="25"/>
      <c r="F361" s="19">
        <v>0.006976969999999999</v>
      </c>
      <c r="G361" s="83" t="s">
        <v>181</v>
      </c>
      <c r="H361" s="120">
        <v>2.528</v>
      </c>
      <c r="I361" s="21">
        <f t="shared" si="9"/>
        <v>362.3349390924714</v>
      </c>
      <c r="L361" s="83"/>
    </row>
    <row r="362" spans="1:12" s="24" customFormat="1" ht="12.75" customHeight="1">
      <c r="A362" s="25"/>
      <c r="B362" s="22"/>
      <c r="C362" s="25"/>
      <c r="D362" s="25"/>
      <c r="E362" s="25"/>
      <c r="F362" s="19"/>
      <c r="G362" s="83"/>
      <c r="H362" s="120"/>
      <c r="I362" s="19"/>
      <c r="L362" s="83"/>
    </row>
    <row r="363" spans="1:12" s="24" customFormat="1" ht="12.75" customHeight="1">
      <c r="A363" s="25" t="s">
        <v>94</v>
      </c>
      <c r="B363" s="22">
        <v>2004</v>
      </c>
      <c r="C363" s="25" t="s">
        <v>114</v>
      </c>
      <c r="D363" s="8" t="s">
        <v>42</v>
      </c>
      <c r="E363" s="25"/>
      <c r="F363" s="19">
        <v>46.19795895</v>
      </c>
      <c r="G363" s="83" t="s">
        <v>180</v>
      </c>
      <c r="H363" s="120">
        <v>18117.424</v>
      </c>
      <c r="I363" s="21">
        <f t="shared" si="9"/>
        <v>392.1693601141225</v>
      </c>
      <c r="L363" s="83"/>
    </row>
    <row r="364" spans="1:12" s="24" customFormat="1" ht="12.75" customHeight="1">
      <c r="A364" s="25" t="s">
        <v>94</v>
      </c>
      <c r="B364" s="22">
        <v>2004</v>
      </c>
      <c r="C364" s="25" t="s">
        <v>115</v>
      </c>
      <c r="D364" s="8"/>
      <c r="E364" s="25"/>
      <c r="F364" s="19">
        <v>1.8368607399999999</v>
      </c>
      <c r="G364" s="83" t="s">
        <v>180</v>
      </c>
      <c r="H364" s="120">
        <v>1210.339</v>
      </c>
      <c r="I364" s="21">
        <f t="shared" si="9"/>
        <v>658.9171261834471</v>
      </c>
      <c r="L364" s="83"/>
    </row>
    <row r="365" spans="1:12" s="24" customFormat="1" ht="12.75" customHeight="1">
      <c r="A365" s="25" t="s">
        <v>94</v>
      </c>
      <c r="B365" s="22">
        <v>2004</v>
      </c>
      <c r="C365" s="25" t="s">
        <v>142</v>
      </c>
      <c r="E365" s="25"/>
      <c r="F365" s="19">
        <v>0.85086144</v>
      </c>
      <c r="G365" s="83" t="s">
        <v>180</v>
      </c>
      <c r="H365" s="120">
        <v>643.698</v>
      </c>
      <c r="I365" s="21">
        <f t="shared" si="9"/>
        <v>756.5250577109241</v>
      </c>
      <c r="L365" s="83"/>
    </row>
    <row r="366" spans="1:12" s="24" customFormat="1" ht="12.75" customHeight="1">
      <c r="A366" s="25" t="s">
        <v>94</v>
      </c>
      <c r="B366" s="22">
        <v>2004</v>
      </c>
      <c r="C366" s="25" t="s">
        <v>102</v>
      </c>
      <c r="D366" s="8"/>
      <c r="E366" s="25"/>
      <c r="F366" s="19">
        <v>0.50695645</v>
      </c>
      <c r="G366" s="83" t="s">
        <v>180</v>
      </c>
      <c r="H366" s="120">
        <v>203.834</v>
      </c>
      <c r="I366" s="21">
        <f t="shared" si="9"/>
        <v>402.07398485609565</v>
      </c>
      <c r="L366" s="83"/>
    </row>
    <row r="367" spans="1:12" s="24" customFormat="1" ht="12.75" customHeight="1">
      <c r="A367" s="25" t="s">
        <v>94</v>
      </c>
      <c r="B367" s="22">
        <v>2004</v>
      </c>
      <c r="C367" s="25" t="s">
        <v>113</v>
      </c>
      <c r="D367" s="8"/>
      <c r="E367" s="25"/>
      <c r="F367" s="19">
        <v>0.15604016999999998</v>
      </c>
      <c r="G367" s="83" t="s">
        <v>181</v>
      </c>
      <c r="H367" s="120">
        <v>67.554</v>
      </c>
      <c r="I367" s="21">
        <f t="shared" si="9"/>
        <v>432.9269828403802</v>
      </c>
      <c r="L367" s="83"/>
    </row>
    <row r="368" spans="1:12" s="24" customFormat="1" ht="12.75" customHeight="1">
      <c r="A368" s="25" t="s">
        <v>94</v>
      </c>
      <c r="B368" s="22">
        <v>2004</v>
      </c>
      <c r="C368" s="25" t="s">
        <v>143</v>
      </c>
      <c r="D368" s="8"/>
      <c r="E368" s="25"/>
      <c r="F368" s="19">
        <v>0.13665795</v>
      </c>
      <c r="G368" s="83" t="s">
        <v>181</v>
      </c>
      <c r="H368" s="120">
        <v>62.068</v>
      </c>
      <c r="I368" s="21">
        <f t="shared" si="9"/>
        <v>454.18506570602</v>
      </c>
      <c r="L368" s="83"/>
    </row>
    <row r="369" spans="1:12" s="24" customFormat="1" ht="12.75" customHeight="1">
      <c r="A369" s="25" t="s">
        <v>94</v>
      </c>
      <c r="B369" s="22">
        <v>2004</v>
      </c>
      <c r="C369" s="25" t="s">
        <v>100</v>
      </c>
      <c r="D369" s="8"/>
      <c r="E369" s="25"/>
      <c r="F369" s="19">
        <v>0.12039313</v>
      </c>
      <c r="G369" s="83" t="s">
        <v>181</v>
      </c>
      <c r="H369" s="120">
        <v>46.583</v>
      </c>
      <c r="I369" s="21">
        <f t="shared" si="9"/>
        <v>386.92407116585474</v>
      </c>
      <c r="L369" s="83"/>
    </row>
    <row r="370" spans="1:12" s="24" customFormat="1" ht="12.75" customHeight="1">
      <c r="A370" s="25" t="s">
        <v>94</v>
      </c>
      <c r="B370" s="22">
        <v>2004</v>
      </c>
      <c r="C370" s="25" t="s">
        <v>122</v>
      </c>
      <c r="D370" s="8"/>
      <c r="E370" s="25"/>
      <c r="F370" s="19">
        <v>0.11215776</v>
      </c>
      <c r="G370" s="83" t="s">
        <v>181</v>
      </c>
      <c r="H370" s="120">
        <v>63.537</v>
      </c>
      <c r="I370" s="21">
        <f t="shared" si="9"/>
        <v>566.4966918026894</v>
      </c>
      <c r="L370" s="83"/>
    </row>
    <row r="371" spans="1:12" s="24" customFormat="1" ht="12.75" customHeight="1">
      <c r="A371" s="25" t="s">
        <v>94</v>
      </c>
      <c r="B371" s="22">
        <v>2004</v>
      </c>
      <c r="C371" s="25" t="s">
        <v>120</v>
      </c>
      <c r="D371" s="8"/>
      <c r="E371" s="25"/>
      <c r="F371" s="19">
        <v>0.09643062</v>
      </c>
      <c r="G371" s="83" t="s">
        <v>181</v>
      </c>
      <c r="H371" s="120">
        <v>54.103</v>
      </c>
      <c r="I371" s="21">
        <f t="shared" si="9"/>
        <v>561.0562288202648</v>
      </c>
      <c r="L371" s="83"/>
    </row>
    <row r="372" spans="1:12" s="24" customFormat="1" ht="12.75" customHeight="1">
      <c r="A372" s="25" t="s">
        <v>94</v>
      </c>
      <c r="B372" s="22">
        <v>2004</v>
      </c>
      <c r="C372" s="25" t="s">
        <v>105</v>
      </c>
      <c r="D372" s="8"/>
      <c r="E372" s="25"/>
      <c r="F372" s="19">
        <v>0.09304438000000001</v>
      </c>
      <c r="G372" s="83" t="s">
        <v>181</v>
      </c>
      <c r="H372" s="120">
        <v>165.648</v>
      </c>
      <c r="I372" s="21">
        <f t="shared" si="9"/>
        <v>1780.3117179135374</v>
      </c>
      <c r="L372" s="83"/>
    </row>
    <row r="373" spans="1:12" s="24" customFormat="1" ht="12.75" customHeight="1">
      <c r="A373" s="25" t="s">
        <v>94</v>
      </c>
      <c r="B373" s="22">
        <v>2004</v>
      </c>
      <c r="C373" s="25" t="s">
        <v>158</v>
      </c>
      <c r="D373" s="8"/>
      <c r="E373" s="25"/>
      <c r="F373" s="19">
        <v>0.062340849999999996</v>
      </c>
      <c r="G373" s="83" t="s">
        <v>181</v>
      </c>
      <c r="H373" s="120">
        <v>21.056</v>
      </c>
      <c r="I373" s="21">
        <f t="shared" si="9"/>
        <v>337.7560620363694</v>
      </c>
      <c r="L373" s="83"/>
    </row>
    <row r="374" spans="1:12" s="24" customFormat="1" ht="12.75" customHeight="1">
      <c r="A374" s="25" t="s">
        <v>94</v>
      </c>
      <c r="B374" s="22">
        <v>2004</v>
      </c>
      <c r="C374" s="25" t="s">
        <v>118</v>
      </c>
      <c r="D374" s="8"/>
      <c r="E374" s="25"/>
      <c r="F374" s="19">
        <v>0.022948639999999996</v>
      </c>
      <c r="G374" s="83" t="s">
        <v>181</v>
      </c>
      <c r="H374" s="120">
        <v>5.243</v>
      </c>
      <c r="I374" s="21">
        <f t="shared" si="9"/>
        <v>228.46669780867194</v>
      </c>
      <c r="L374" s="83"/>
    </row>
    <row r="375" spans="1:12" s="24" customFormat="1" ht="12.75" customHeight="1">
      <c r="A375" s="25" t="s">
        <v>94</v>
      </c>
      <c r="B375" s="22">
        <v>2004</v>
      </c>
      <c r="C375" s="25" t="s">
        <v>127</v>
      </c>
      <c r="D375" s="8"/>
      <c r="E375" s="25"/>
      <c r="F375" s="19">
        <v>0.0039182</v>
      </c>
      <c r="G375" s="83" t="s">
        <v>181</v>
      </c>
      <c r="H375" s="120">
        <v>6.136</v>
      </c>
      <c r="I375" s="21">
        <f t="shared" si="9"/>
        <v>1566.0252156602521</v>
      </c>
      <c r="L375" s="83"/>
    </row>
    <row r="376" spans="1:12" s="24" customFormat="1" ht="12.75" customHeight="1">
      <c r="A376" s="25" t="s">
        <v>94</v>
      </c>
      <c r="B376" s="22">
        <v>2004</v>
      </c>
      <c r="C376" s="25" t="s">
        <v>101</v>
      </c>
      <c r="D376" s="8"/>
      <c r="E376" s="25"/>
      <c r="F376" s="19">
        <v>7.149999999999999E-05</v>
      </c>
      <c r="G376" s="83" t="s">
        <v>181</v>
      </c>
      <c r="H376" s="120">
        <v>0.685</v>
      </c>
      <c r="I376" s="21">
        <f t="shared" si="9"/>
        <v>9580.419580419582</v>
      </c>
      <c r="L376" s="83"/>
    </row>
    <row r="377" spans="1:12" s="24" customFormat="1" ht="3" customHeight="1">
      <c r="A377" s="25"/>
      <c r="B377" s="22"/>
      <c r="C377" s="25"/>
      <c r="D377" s="25"/>
      <c r="E377" s="25"/>
      <c r="F377" s="19"/>
      <c r="G377" s="83"/>
      <c r="H377" s="120"/>
      <c r="I377" s="19"/>
      <c r="L377" s="83"/>
    </row>
    <row r="378" spans="1:12" s="24" customFormat="1" ht="12.75" customHeight="1">
      <c r="A378" s="25" t="s">
        <v>293</v>
      </c>
      <c r="B378" s="22">
        <v>2004</v>
      </c>
      <c r="C378" s="9" t="s">
        <v>464</v>
      </c>
      <c r="D378" s="10" t="s">
        <v>324</v>
      </c>
      <c r="E378" s="75"/>
      <c r="F378" s="42">
        <v>94.155</v>
      </c>
      <c r="G378" s="83"/>
      <c r="H378" s="120"/>
      <c r="I378" s="69" t="s">
        <v>71</v>
      </c>
      <c r="L378" s="83"/>
    </row>
    <row r="379" spans="1:12" s="24" customFormat="1" ht="12.75" customHeight="1">
      <c r="A379" s="25" t="s">
        <v>293</v>
      </c>
      <c r="B379" s="22">
        <v>2004</v>
      </c>
      <c r="C379" s="9" t="s">
        <v>463</v>
      </c>
      <c r="D379" s="10" t="s">
        <v>370</v>
      </c>
      <c r="E379" s="75"/>
      <c r="F379" s="42">
        <v>40.466</v>
      </c>
      <c r="G379" s="83"/>
      <c r="H379" s="120"/>
      <c r="I379" s="69" t="s">
        <v>71</v>
      </c>
      <c r="L379" s="83"/>
    </row>
    <row r="380" spans="1:12" s="24" customFormat="1" ht="12.75" customHeight="1">
      <c r="A380" s="25" t="s">
        <v>293</v>
      </c>
      <c r="B380" s="22">
        <v>2004</v>
      </c>
      <c r="C380" s="28" t="s">
        <v>52</v>
      </c>
      <c r="D380" s="75" t="s">
        <v>655</v>
      </c>
      <c r="E380" s="75"/>
      <c r="F380" s="42">
        <v>26.777</v>
      </c>
      <c r="G380" s="83"/>
      <c r="H380" s="120"/>
      <c r="I380" s="69" t="s">
        <v>71</v>
      </c>
      <c r="L380" s="83"/>
    </row>
    <row r="381" spans="1:12" s="24" customFormat="1" ht="12.75" customHeight="1">
      <c r="A381" s="25" t="s">
        <v>293</v>
      </c>
      <c r="B381" s="22">
        <v>2004</v>
      </c>
      <c r="C381" s="9" t="s">
        <v>653</v>
      </c>
      <c r="D381" s="10" t="s">
        <v>362</v>
      </c>
      <c r="E381" s="75"/>
      <c r="F381" s="42">
        <v>19.407</v>
      </c>
      <c r="G381" s="83"/>
      <c r="H381" s="120"/>
      <c r="I381" s="69" t="s">
        <v>71</v>
      </c>
      <c r="L381" s="83"/>
    </row>
    <row r="382" spans="1:12" s="24" customFormat="1" ht="12.75" customHeight="1">
      <c r="A382" s="25" t="s">
        <v>293</v>
      </c>
      <c r="B382" s="22">
        <v>2004</v>
      </c>
      <c r="C382" s="9" t="s">
        <v>652</v>
      </c>
      <c r="D382" s="10" t="s">
        <v>656</v>
      </c>
      <c r="E382" s="75"/>
      <c r="F382" s="42">
        <v>15.277</v>
      </c>
      <c r="G382" s="83"/>
      <c r="H382" s="120"/>
      <c r="I382" s="69" t="s">
        <v>71</v>
      </c>
      <c r="L382" s="83"/>
    </row>
    <row r="383" spans="1:12" s="24" customFormat="1" ht="12.75" customHeight="1">
      <c r="A383" s="25" t="s">
        <v>293</v>
      </c>
      <c r="B383" s="22">
        <v>2004</v>
      </c>
      <c r="C383" s="9" t="s">
        <v>465</v>
      </c>
      <c r="D383" s="10" t="s">
        <v>372</v>
      </c>
      <c r="E383" s="75"/>
      <c r="F383" s="42">
        <v>9.703</v>
      </c>
      <c r="G383" s="83"/>
      <c r="H383" s="120"/>
      <c r="I383" s="69" t="s">
        <v>71</v>
      </c>
      <c r="L383" s="83"/>
    </row>
    <row r="384" spans="1:12" s="24" customFormat="1" ht="12.75" customHeight="1">
      <c r="A384" s="25" t="s">
        <v>293</v>
      </c>
      <c r="B384" s="22">
        <v>2004</v>
      </c>
      <c r="C384" s="28" t="s">
        <v>467</v>
      </c>
      <c r="D384" s="10" t="s">
        <v>654</v>
      </c>
      <c r="E384" s="75"/>
      <c r="F384" s="42">
        <v>3.38</v>
      </c>
      <c r="G384" s="83"/>
      <c r="H384" s="120"/>
      <c r="I384" s="69" t="s">
        <v>71</v>
      </c>
      <c r="L384" s="83"/>
    </row>
    <row r="385" spans="1:12" s="24" customFormat="1" ht="12.75" customHeight="1">
      <c r="A385" s="25" t="s">
        <v>293</v>
      </c>
      <c r="B385" s="22">
        <v>2004</v>
      </c>
      <c r="C385" s="28" t="s">
        <v>651</v>
      </c>
      <c r="D385" s="75" t="s">
        <v>657</v>
      </c>
      <c r="E385" s="75"/>
      <c r="F385" s="42">
        <v>0.91</v>
      </c>
      <c r="G385" s="83"/>
      <c r="H385" s="120"/>
      <c r="I385" s="69" t="s">
        <v>71</v>
      </c>
      <c r="L385" s="83"/>
    </row>
    <row r="386" spans="1:12" s="24" customFormat="1" ht="12.75" customHeight="1">
      <c r="A386" s="25"/>
      <c r="B386" s="22"/>
      <c r="C386" s="25"/>
      <c r="D386" s="25"/>
      <c r="E386" s="25"/>
      <c r="F386" s="26"/>
      <c r="G386" s="83"/>
      <c r="H386" s="120"/>
      <c r="I386" s="69"/>
      <c r="L386" s="83"/>
    </row>
    <row r="387" spans="1:12" ht="12.75" customHeight="1">
      <c r="A387" s="8" t="s">
        <v>24</v>
      </c>
      <c r="B387" s="22">
        <v>2003</v>
      </c>
      <c r="C387" s="20" t="s">
        <v>79</v>
      </c>
      <c r="D387" s="10" t="s">
        <v>382</v>
      </c>
      <c r="F387" s="42">
        <v>0</v>
      </c>
      <c r="G387" s="79" t="s">
        <v>10</v>
      </c>
      <c r="H387" s="125">
        <v>273</v>
      </c>
      <c r="I387" s="69" t="s">
        <v>71</v>
      </c>
      <c r="J387" s="25"/>
      <c r="K387" s="25"/>
      <c r="L387" s="79"/>
    </row>
    <row r="388" spans="1:12" ht="12.75" customHeight="1">
      <c r="A388" s="8" t="s">
        <v>24</v>
      </c>
      <c r="B388" s="22">
        <v>2003</v>
      </c>
      <c r="C388" s="28" t="s">
        <v>467</v>
      </c>
      <c r="D388" s="10" t="s">
        <v>315</v>
      </c>
      <c r="F388" s="42">
        <v>0</v>
      </c>
      <c r="G388" s="79" t="s">
        <v>10</v>
      </c>
      <c r="H388" s="126">
        <v>76</v>
      </c>
      <c r="I388" s="69" t="s">
        <v>71</v>
      </c>
      <c r="J388" s="25"/>
      <c r="K388" s="25"/>
      <c r="L388" s="79"/>
    </row>
    <row r="389" spans="1:12" ht="12.75" customHeight="1">
      <c r="A389" s="8" t="s">
        <v>24</v>
      </c>
      <c r="B389" s="22">
        <v>2003</v>
      </c>
      <c r="C389" s="20"/>
      <c r="D389" s="10" t="s">
        <v>482</v>
      </c>
      <c r="F389" s="42">
        <v>65</v>
      </c>
      <c r="H389" s="125">
        <f>11502</f>
        <v>11502</v>
      </c>
      <c r="I389" s="21">
        <f>$H389/$F389</f>
        <v>176.95384615384614</v>
      </c>
      <c r="J389" s="25"/>
      <c r="K389" s="25"/>
      <c r="L389" s="79"/>
    </row>
    <row r="390" spans="3:12" ht="12.75" customHeight="1">
      <c r="C390" s="55"/>
      <c r="H390" s="126"/>
      <c r="I390" s="21"/>
      <c r="J390" s="25"/>
      <c r="K390" s="25"/>
      <c r="L390" s="79"/>
    </row>
    <row r="391" spans="1:12" ht="12.75" customHeight="1">
      <c r="A391" s="8" t="s">
        <v>24</v>
      </c>
      <c r="B391" s="22">
        <v>2004</v>
      </c>
      <c r="C391" s="28" t="s">
        <v>467</v>
      </c>
      <c r="D391" s="10" t="s">
        <v>315</v>
      </c>
      <c r="F391" s="42">
        <v>1</v>
      </c>
      <c r="H391" s="125">
        <v>345</v>
      </c>
      <c r="I391" s="21">
        <f>$H391/$F391</f>
        <v>345</v>
      </c>
      <c r="J391" s="25"/>
      <c r="K391" s="25"/>
      <c r="L391" s="79"/>
    </row>
    <row r="392" spans="1:12" ht="12.75" customHeight="1">
      <c r="A392" s="8" t="s">
        <v>24</v>
      </c>
      <c r="B392" s="22">
        <v>2004</v>
      </c>
      <c r="C392" s="20"/>
      <c r="D392" s="10" t="s">
        <v>482</v>
      </c>
      <c r="F392" s="42">
        <v>47</v>
      </c>
      <c r="H392" s="125">
        <v>11764</v>
      </c>
      <c r="I392" s="21">
        <f>$H392/$F392</f>
        <v>250.29787234042553</v>
      </c>
      <c r="J392" s="25"/>
      <c r="K392" s="25"/>
      <c r="L392" s="79"/>
    </row>
    <row r="393" spans="3:12" ht="12.75" customHeight="1">
      <c r="C393" s="55"/>
      <c r="H393" s="126"/>
      <c r="I393" s="21"/>
      <c r="J393" s="25"/>
      <c r="K393" s="25"/>
      <c r="L393" s="79"/>
    </row>
    <row r="394" spans="1:12" ht="12.75" customHeight="1">
      <c r="A394" s="8" t="s">
        <v>27</v>
      </c>
      <c r="B394" s="22">
        <v>2003</v>
      </c>
      <c r="C394" s="64"/>
      <c r="D394" s="10" t="s">
        <v>482</v>
      </c>
      <c r="F394" s="150">
        <v>1.35</v>
      </c>
      <c r="H394" s="123">
        <f>1185.556</f>
        <v>1185.556</v>
      </c>
      <c r="I394" s="15">
        <f>$H394/$F394</f>
        <v>878.1896296296296</v>
      </c>
      <c r="L394" s="79"/>
    </row>
    <row r="395" spans="3:12" ht="12.75" customHeight="1">
      <c r="C395" s="64"/>
      <c r="H395" s="126"/>
      <c r="I395" s="21"/>
      <c r="L395" s="79"/>
    </row>
    <row r="396" spans="1:12" ht="12.75" customHeight="1">
      <c r="A396" s="8" t="s">
        <v>27</v>
      </c>
      <c r="B396" s="22">
        <v>2004</v>
      </c>
      <c r="C396" s="64"/>
      <c r="D396" s="10" t="s">
        <v>482</v>
      </c>
      <c r="F396" s="150">
        <v>1.8</v>
      </c>
      <c r="H396" s="123">
        <v>568.147</v>
      </c>
      <c r="I396" s="15">
        <f>H396/F396</f>
        <v>315.63722222222225</v>
      </c>
      <c r="L396" s="79"/>
    </row>
    <row r="397" spans="3:12" ht="12.75" customHeight="1">
      <c r="C397" s="64"/>
      <c r="H397" s="126"/>
      <c r="I397" s="21"/>
      <c r="L397" s="79"/>
    </row>
    <row r="398" spans="1:10" s="10" customFormat="1" ht="12.75" customHeight="1">
      <c r="A398" s="8" t="s">
        <v>598</v>
      </c>
      <c r="B398" s="22">
        <v>2003</v>
      </c>
      <c r="C398" s="9" t="s">
        <v>599</v>
      </c>
      <c r="D398" s="10" t="s">
        <v>346</v>
      </c>
      <c r="E398" s="16"/>
      <c r="F398" s="112">
        <v>0.8334815</v>
      </c>
      <c r="G398" s="101"/>
      <c r="H398" s="123">
        <v>39.53895</v>
      </c>
      <c r="I398" s="15">
        <f>$H398/$F398</f>
        <v>47.43830546928756</v>
      </c>
      <c r="J398" s="9"/>
    </row>
    <row r="399" spans="1:10" s="10" customFormat="1" ht="12.75" customHeight="1">
      <c r="A399" s="10" t="s">
        <v>598</v>
      </c>
      <c r="B399" s="36">
        <v>2003</v>
      </c>
      <c r="C399" s="269" t="s">
        <v>601</v>
      </c>
      <c r="D399" s="8" t="s">
        <v>600</v>
      </c>
      <c r="E399" s="16"/>
      <c r="F399" s="112">
        <v>0.6183895</v>
      </c>
      <c r="G399" s="101"/>
      <c r="H399" s="123">
        <v>29.33535</v>
      </c>
      <c r="I399" s="15">
        <f>$H399/$F399</f>
        <v>47.438305469287556</v>
      </c>
      <c r="J399" s="9"/>
    </row>
    <row r="400" spans="1:10" s="10" customFormat="1" ht="12.75" customHeight="1">
      <c r="A400" s="10" t="s">
        <v>598</v>
      </c>
      <c r="B400" s="36">
        <v>2003</v>
      </c>
      <c r="C400" s="269" t="s">
        <v>295</v>
      </c>
      <c r="D400" s="8" t="s">
        <v>317</v>
      </c>
      <c r="E400" s="16"/>
      <c r="F400" s="112">
        <v>0.322638</v>
      </c>
      <c r="G400" s="101" t="s">
        <v>10</v>
      </c>
      <c r="H400" s="123">
        <v>15.354</v>
      </c>
      <c r="I400" s="15">
        <f>$H400/$F400</f>
        <v>47.5889386867015</v>
      </c>
      <c r="J400" s="9"/>
    </row>
    <row r="401" spans="1:10" s="10" customFormat="1" ht="12.75" customHeight="1">
      <c r="A401" s="10" t="s">
        <v>598</v>
      </c>
      <c r="B401" s="36">
        <v>2003</v>
      </c>
      <c r="C401" s="269" t="s">
        <v>723</v>
      </c>
      <c r="D401" s="8" t="s">
        <v>602</v>
      </c>
      <c r="E401" s="16"/>
      <c r="F401" s="112">
        <v>0.2957515</v>
      </c>
      <c r="G401" s="101" t="s">
        <v>10</v>
      </c>
      <c r="H401" s="123">
        <v>14.2995</v>
      </c>
      <c r="I401" s="15">
        <f>$H401/$F401</f>
        <v>48.34971251202445</v>
      </c>
      <c r="J401" s="9"/>
    </row>
    <row r="402" spans="1:10" s="10" customFormat="1" ht="12.75" customHeight="1">
      <c r="A402" s="10" t="s">
        <v>598</v>
      </c>
      <c r="B402" s="36">
        <v>2003</v>
      </c>
      <c r="C402" s="269" t="s">
        <v>724</v>
      </c>
      <c r="D402" s="8" t="s">
        <v>603</v>
      </c>
      <c r="E402" s="16"/>
      <c r="F402" s="112">
        <f>0.21592/10</f>
        <v>0.021592</v>
      </c>
      <c r="G402" s="101" t="s">
        <v>307</v>
      </c>
      <c r="H402" s="123">
        <v>1.236</v>
      </c>
      <c r="I402" s="15">
        <f>$H402/$F402</f>
        <v>57.24342349018155</v>
      </c>
      <c r="J402" s="9"/>
    </row>
    <row r="403" spans="1:12" ht="12.75" customHeight="1">
      <c r="A403" s="10"/>
      <c r="B403" s="36"/>
      <c r="C403" s="10"/>
      <c r="E403" s="81"/>
      <c r="F403" s="40"/>
      <c r="G403" s="101"/>
      <c r="H403" s="123"/>
      <c r="J403" s="15"/>
      <c r="K403" s="146"/>
      <c r="L403" s="8"/>
    </row>
    <row r="404" spans="1:10" s="10" customFormat="1" ht="12.75" customHeight="1">
      <c r="A404" s="8" t="s">
        <v>598</v>
      </c>
      <c r="B404" s="22">
        <v>2004</v>
      </c>
      <c r="C404" s="9" t="s">
        <v>599</v>
      </c>
      <c r="D404" s="10" t="s">
        <v>346</v>
      </c>
      <c r="E404" s="16"/>
      <c r="F404" s="112">
        <f>7.8565997/10</f>
        <v>0.78565997</v>
      </c>
      <c r="G404" s="101" t="s">
        <v>311</v>
      </c>
      <c r="H404" s="123">
        <v>143.95873</v>
      </c>
      <c r="I404" s="15">
        <f>$H404/$F404</f>
        <v>183.23286853980863</v>
      </c>
      <c r="J404" s="9"/>
    </row>
    <row r="405" spans="1:10" s="10" customFormat="1" ht="12.75" customHeight="1">
      <c r="A405" s="10" t="s">
        <v>598</v>
      </c>
      <c r="B405" s="36">
        <v>2004</v>
      </c>
      <c r="C405" s="269" t="s">
        <v>601</v>
      </c>
      <c r="D405" s="8" t="s">
        <v>600</v>
      </c>
      <c r="E405" s="16"/>
      <c r="F405" s="112">
        <f>5.829914/100</f>
        <v>0.05829914</v>
      </c>
      <c r="G405" s="101" t="s">
        <v>307</v>
      </c>
      <c r="H405" s="123">
        <v>16.889</v>
      </c>
      <c r="I405" s="15">
        <f>$H405/$F405</f>
        <v>289.6955255257625</v>
      </c>
      <c r="J405" s="9"/>
    </row>
    <row r="406" spans="1:10" s="10" customFormat="1" ht="12.75" customHeight="1">
      <c r="A406" s="10" t="s">
        <v>598</v>
      </c>
      <c r="B406" s="36">
        <v>2004</v>
      </c>
      <c r="C406" s="269" t="s">
        <v>605</v>
      </c>
      <c r="D406" s="8" t="s">
        <v>317</v>
      </c>
      <c r="E406" s="16"/>
      <c r="F406" s="112">
        <f>2.27596/10</f>
        <v>0.227596</v>
      </c>
      <c r="G406" s="101" t="s">
        <v>307</v>
      </c>
      <c r="H406" s="123">
        <v>37.1564</v>
      </c>
      <c r="I406" s="15">
        <f>$H406/$F406</f>
        <v>163.25594474419586</v>
      </c>
      <c r="J406" s="9"/>
    </row>
    <row r="407" spans="1:10" s="10" customFormat="1" ht="12.75" customHeight="1">
      <c r="A407" s="10" t="s">
        <v>598</v>
      </c>
      <c r="B407" s="36">
        <v>2004</v>
      </c>
      <c r="C407" s="269" t="s">
        <v>723</v>
      </c>
      <c r="D407" s="8" t="s">
        <v>602</v>
      </c>
      <c r="E407" s="16"/>
      <c r="F407" s="112">
        <f>3.412644/10</f>
        <v>0.34126439999999997</v>
      </c>
      <c r="G407" s="101" t="s">
        <v>307</v>
      </c>
      <c r="H407" s="123">
        <v>55.72596</v>
      </c>
      <c r="I407" s="15">
        <f>$H407/$F407</f>
        <v>163.29262589358868</v>
      </c>
      <c r="J407" s="9"/>
    </row>
    <row r="408" spans="1:10" s="10" customFormat="1" ht="12.75" customHeight="1">
      <c r="A408" s="10" t="s">
        <v>598</v>
      </c>
      <c r="B408" s="36">
        <v>2004</v>
      </c>
      <c r="C408" s="269" t="s">
        <v>724</v>
      </c>
      <c r="D408" s="8" t="s">
        <v>603</v>
      </c>
      <c r="E408" s="16"/>
      <c r="F408" s="112">
        <f>2.7878257/10</f>
        <v>0.27878257</v>
      </c>
      <c r="G408" s="101" t="s">
        <v>307</v>
      </c>
      <c r="H408" s="123">
        <v>51.8213</v>
      </c>
      <c r="I408" s="15">
        <f>$H408/$F408</f>
        <v>185.88428968138143</v>
      </c>
      <c r="J408" s="9"/>
    </row>
    <row r="409" spans="1:12" ht="12.75" customHeight="1">
      <c r="A409" s="10"/>
      <c r="B409" s="36"/>
      <c r="C409" s="10"/>
      <c r="E409" s="81"/>
      <c r="F409" s="40"/>
      <c r="G409" s="101"/>
      <c r="H409" s="123"/>
      <c r="J409" s="15"/>
      <c r="K409" s="146"/>
      <c r="L409" s="8"/>
    </row>
    <row r="410" spans="1:12" ht="12.75" customHeight="1">
      <c r="A410" s="58" t="s">
        <v>294</v>
      </c>
      <c r="B410" s="270">
        <v>2003</v>
      </c>
      <c r="C410" s="271" t="s">
        <v>724</v>
      </c>
      <c r="D410" s="230" t="s">
        <v>314</v>
      </c>
      <c r="E410" s="230"/>
      <c r="F410" s="272">
        <f>45.389</f>
        <v>45.389</v>
      </c>
      <c r="G410" s="273"/>
      <c r="H410" s="126">
        <f>15299.359</f>
        <v>15299.359</v>
      </c>
      <c r="I410" s="274">
        <f aca="true" t="shared" si="10" ref="I410:I418">$H410/$F410</f>
        <v>337.0719557602062</v>
      </c>
      <c r="L410" s="79"/>
    </row>
    <row r="411" spans="1:12" ht="3" customHeight="1">
      <c r="A411" s="58"/>
      <c r="B411" s="270"/>
      <c r="C411" s="271"/>
      <c r="D411" s="230"/>
      <c r="E411" s="230"/>
      <c r="F411" s="272"/>
      <c r="G411" s="273"/>
      <c r="H411" s="126"/>
      <c r="I411" s="274"/>
      <c r="L411" s="79"/>
    </row>
    <row r="412" spans="1:12" ht="12.75" customHeight="1">
      <c r="A412" s="58" t="s">
        <v>294</v>
      </c>
      <c r="B412" s="270">
        <v>2003</v>
      </c>
      <c r="C412" s="63" t="s">
        <v>6</v>
      </c>
      <c r="D412" s="275" t="s">
        <v>323</v>
      </c>
      <c r="E412" s="276"/>
      <c r="F412" s="358">
        <f>18.156</f>
        <v>18.156</v>
      </c>
      <c r="G412" s="359"/>
      <c r="H412" s="360">
        <f>476.869</f>
        <v>476.869</v>
      </c>
      <c r="I412" s="361">
        <f>$H412/$F412</f>
        <v>26.265091429830363</v>
      </c>
      <c r="L412" s="79"/>
    </row>
    <row r="413" spans="1:12" ht="12.75" customHeight="1">
      <c r="A413" s="58" t="s">
        <v>294</v>
      </c>
      <c r="B413" s="270">
        <v>2003</v>
      </c>
      <c r="C413" s="280" t="s">
        <v>18</v>
      </c>
      <c r="D413" s="230" t="s">
        <v>320</v>
      </c>
      <c r="E413" s="281"/>
      <c r="F413" s="358"/>
      <c r="G413" s="359"/>
      <c r="H413" s="360"/>
      <c r="I413" s="361"/>
      <c r="L413" s="79"/>
    </row>
    <row r="414" spans="1:12" ht="3" customHeight="1">
      <c r="A414" s="58"/>
      <c r="B414" s="270"/>
      <c r="C414" s="280"/>
      <c r="D414" s="230"/>
      <c r="E414" s="230"/>
      <c r="F414" s="282"/>
      <c r="G414" s="277"/>
      <c r="H414" s="278"/>
      <c r="I414" s="279"/>
      <c r="L414" s="79"/>
    </row>
    <row r="415" spans="1:12" ht="12.75" customHeight="1">
      <c r="A415" s="58" t="s">
        <v>294</v>
      </c>
      <c r="B415" s="270">
        <v>2003</v>
      </c>
      <c r="C415" s="271" t="s">
        <v>23</v>
      </c>
      <c r="D415" s="230" t="s">
        <v>383</v>
      </c>
      <c r="E415" s="230"/>
      <c r="F415" s="272">
        <f>10.192</f>
        <v>10.192</v>
      </c>
      <c r="G415" s="273"/>
      <c r="H415" s="126">
        <f>5724.635</f>
        <v>5724.635</v>
      </c>
      <c r="I415" s="274">
        <f t="shared" si="10"/>
        <v>561.6792582417582</v>
      </c>
      <c r="L415" s="79"/>
    </row>
    <row r="416" spans="1:12" ht="12.75" customHeight="1">
      <c r="A416" s="58" t="s">
        <v>294</v>
      </c>
      <c r="B416" s="270">
        <v>2003</v>
      </c>
      <c r="C416" s="64" t="s">
        <v>467</v>
      </c>
      <c r="D416" s="230" t="s">
        <v>384</v>
      </c>
      <c r="E416" s="230"/>
      <c r="F416" s="272">
        <f>0.015</f>
        <v>0.015</v>
      </c>
      <c r="G416" s="273" t="s">
        <v>10</v>
      </c>
      <c r="H416" s="126">
        <f>9.311</f>
        <v>9.311</v>
      </c>
      <c r="I416" s="274">
        <f t="shared" si="10"/>
        <v>620.7333333333333</v>
      </c>
      <c r="L416" s="79"/>
    </row>
    <row r="417" spans="1:12" ht="12.75" customHeight="1">
      <c r="A417" s="58" t="s">
        <v>294</v>
      </c>
      <c r="B417" s="270">
        <v>2003</v>
      </c>
      <c r="C417" s="270" t="s">
        <v>296</v>
      </c>
      <c r="D417" s="58" t="s">
        <v>42</v>
      </c>
      <c r="E417" s="58"/>
      <c r="F417" s="283">
        <f>2.035</f>
        <v>2.035</v>
      </c>
      <c r="G417" s="273"/>
      <c r="H417" s="126">
        <f>962.979</f>
        <v>962.979</v>
      </c>
      <c r="I417" s="274">
        <f t="shared" si="10"/>
        <v>473.2083538083538</v>
      </c>
      <c r="L417" s="79"/>
    </row>
    <row r="418" spans="1:12" ht="12.75" customHeight="1">
      <c r="A418" s="58" t="s">
        <v>294</v>
      </c>
      <c r="B418" s="270">
        <v>2003</v>
      </c>
      <c r="C418" s="270" t="s">
        <v>297</v>
      </c>
      <c r="D418" s="58"/>
      <c r="E418" s="58"/>
      <c r="F418" s="145">
        <f>16.013</f>
        <v>16.013</v>
      </c>
      <c r="G418" s="273"/>
      <c r="H418" s="126">
        <f>8507.252</f>
        <v>8507.252</v>
      </c>
      <c r="I418" s="274">
        <f t="shared" si="10"/>
        <v>531.2715918316368</v>
      </c>
      <c r="L418" s="79"/>
    </row>
    <row r="419" spans="3:12" ht="12.75" customHeight="1">
      <c r="C419" s="64"/>
      <c r="H419" s="126"/>
      <c r="I419" s="21"/>
      <c r="L419" s="79"/>
    </row>
    <row r="420" spans="1:12" ht="12.75" customHeight="1">
      <c r="A420" s="58" t="s">
        <v>294</v>
      </c>
      <c r="B420" s="270">
        <v>2004</v>
      </c>
      <c r="C420" s="271" t="s">
        <v>724</v>
      </c>
      <c r="D420" s="230" t="s">
        <v>314</v>
      </c>
      <c r="E420" s="230"/>
      <c r="F420" s="272">
        <v>117.234</v>
      </c>
      <c r="G420" s="273"/>
      <c r="H420" s="126">
        <v>20974.842</v>
      </c>
      <c r="I420" s="283">
        <f aca="true" t="shared" si="11" ref="I420:I428">$H420/$F420</f>
        <v>178.91432519576233</v>
      </c>
      <c r="L420" s="79"/>
    </row>
    <row r="421" spans="1:12" ht="12.75" customHeight="1">
      <c r="A421" s="58" t="s">
        <v>294</v>
      </c>
      <c r="B421" s="270">
        <v>2004</v>
      </c>
      <c r="C421" s="271" t="s">
        <v>23</v>
      </c>
      <c r="D421" s="230" t="s">
        <v>383</v>
      </c>
      <c r="E421" s="230"/>
      <c r="F421" s="272">
        <v>46.431</v>
      </c>
      <c r="G421" s="273"/>
      <c r="H421" s="126">
        <v>8678.538</v>
      </c>
      <c r="I421" s="283">
        <f t="shared" si="11"/>
        <v>186.9125799573561</v>
      </c>
      <c r="L421" s="79"/>
    </row>
    <row r="422" spans="1:12" ht="3" customHeight="1">
      <c r="A422" s="58"/>
      <c r="B422" s="270"/>
      <c r="C422" s="271"/>
      <c r="D422" s="230"/>
      <c r="E422" s="230"/>
      <c r="F422" s="272"/>
      <c r="G422" s="273"/>
      <c r="H422" s="126"/>
      <c r="I422" s="283"/>
      <c r="L422" s="79"/>
    </row>
    <row r="423" spans="1:12" ht="12.75" customHeight="1">
      <c r="A423" s="58" t="s">
        <v>294</v>
      </c>
      <c r="B423" s="270">
        <v>2004</v>
      </c>
      <c r="C423" s="63" t="s">
        <v>6</v>
      </c>
      <c r="D423" s="275" t="s">
        <v>323</v>
      </c>
      <c r="E423" s="276"/>
      <c r="F423" s="358">
        <v>0.463</v>
      </c>
      <c r="G423" s="359" t="s">
        <v>10</v>
      </c>
      <c r="H423" s="360">
        <v>448.848</v>
      </c>
      <c r="I423" s="361">
        <f t="shared" si="11"/>
        <v>969.4341252699784</v>
      </c>
      <c r="L423" s="79"/>
    </row>
    <row r="424" spans="1:12" ht="12.75" customHeight="1">
      <c r="A424" s="58" t="s">
        <v>294</v>
      </c>
      <c r="B424" s="270">
        <v>2004</v>
      </c>
      <c r="C424" s="280" t="s">
        <v>18</v>
      </c>
      <c r="D424" s="230" t="s">
        <v>320</v>
      </c>
      <c r="E424" s="281"/>
      <c r="F424" s="358"/>
      <c r="G424" s="359"/>
      <c r="H424" s="360"/>
      <c r="I424" s="361" t="e">
        <f t="shared" si="11"/>
        <v>#DIV/0!</v>
      </c>
      <c r="L424" s="79"/>
    </row>
    <row r="425" spans="1:12" ht="3" customHeight="1">
      <c r="A425" s="58"/>
      <c r="B425" s="270"/>
      <c r="C425" s="280"/>
      <c r="D425" s="230"/>
      <c r="E425" s="230"/>
      <c r="F425" s="282"/>
      <c r="G425" s="277"/>
      <c r="H425" s="278"/>
      <c r="I425" s="279"/>
      <c r="L425" s="79"/>
    </row>
    <row r="426" spans="1:12" ht="12.75" customHeight="1">
      <c r="A426" s="58" t="s">
        <v>294</v>
      </c>
      <c r="B426" s="270">
        <v>2004</v>
      </c>
      <c r="C426" s="64" t="s">
        <v>467</v>
      </c>
      <c r="D426" s="230" t="s">
        <v>384</v>
      </c>
      <c r="E426" s="230"/>
      <c r="F426" s="272">
        <v>0.041</v>
      </c>
      <c r="G426" s="273" t="s">
        <v>10</v>
      </c>
      <c r="H426" s="126">
        <v>17.283</v>
      </c>
      <c r="I426" s="283">
        <f t="shared" si="11"/>
        <v>421.5365853658537</v>
      </c>
      <c r="L426" s="79"/>
    </row>
    <row r="427" spans="1:12" ht="12.75" customHeight="1">
      <c r="A427" s="58" t="s">
        <v>294</v>
      </c>
      <c r="B427" s="270">
        <v>2004</v>
      </c>
      <c r="C427" s="270" t="s">
        <v>296</v>
      </c>
      <c r="D427" s="58" t="s">
        <v>42</v>
      </c>
      <c r="E427" s="58"/>
      <c r="F427" s="283">
        <v>45.068</v>
      </c>
      <c r="G427" s="273"/>
      <c r="H427" s="126">
        <v>140.154</v>
      </c>
      <c r="I427" s="283">
        <f t="shared" si="11"/>
        <v>3.1098340285790362</v>
      </c>
      <c r="L427" s="79"/>
    </row>
    <row r="428" spans="1:12" ht="12.75" customHeight="1">
      <c r="A428" s="58" t="s">
        <v>294</v>
      </c>
      <c r="B428" s="270">
        <v>2004</v>
      </c>
      <c r="C428" s="270" t="s">
        <v>297</v>
      </c>
      <c r="D428" s="58"/>
      <c r="E428" s="58"/>
      <c r="F428" s="145">
        <v>17.53</v>
      </c>
      <c r="G428" s="273"/>
      <c r="H428" s="126">
        <v>9485.743</v>
      </c>
      <c r="I428" s="283">
        <f t="shared" si="11"/>
        <v>541.1148317170565</v>
      </c>
      <c r="L428" s="79"/>
    </row>
    <row r="429" spans="3:12" ht="12.75" customHeight="1">
      <c r="C429" s="64"/>
      <c r="H429" s="126"/>
      <c r="I429" s="21"/>
      <c r="L429" s="79"/>
    </row>
    <row r="430" spans="1:9" ht="12.75" customHeight="1">
      <c r="A430" s="8" t="s">
        <v>67</v>
      </c>
      <c r="B430" s="22">
        <v>2003</v>
      </c>
      <c r="C430" s="9" t="s">
        <v>478</v>
      </c>
      <c r="D430" s="10" t="s">
        <v>327</v>
      </c>
      <c r="F430" s="42">
        <v>0.9867</v>
      </c>
      <c r="H430" s="123">
        <v>389.338</v>
      </c>
      <c r="I430" s="15">
        <f>$H430/$F430</f>
        <v>394.5859937164285</v>
      </c>
    </row>
    <row r="431" spans="1:9" ht="12.75" customHeight="1">
      <c r="A431" s="8" t="s">
        <v>67</v>
      </c>
      <c r="B431" s="22">
        <v>2003</v>
      </c>
      <c r="C431" s="31" t="s">
        <v>728</v>
      </c>
      <c r="D431" s="10" t="s">
        <v>386</v>
      </c>
      <c r="F431" s="42">
        <v>0.3608</v>
      </c>
      <c r="G431" s="79" t="s">
        <v>10</v>
      </c>
      <c r="H431" s="123">
        <v>90.929</v>
      </c>
      <c r="I431" s="15">
        <f>$H431/$F431</f>
        <v>252.02050997782706</v>
      </c>
    </row>
    <row r="432" spans="1:9" ht="12.75" customHeight="1">
      <c r="A432" s="8" t="s">
        <v>67</v>
      </c>
      <c r="B432" s="22">
        <v>2003</v>
      </c>
      <c r="C432" s="31" t="s">
        <v>22</v>
      </c>
      <c r="D432" s="10" t="s">
        <v>364</v>
      </c>
      <c r="F432" s="42">
        <v>0.1702</v>
      </c>
      <c r="G432" s="79" t="s">
        <v>10</v>
      </c>
      <c r="H432" s="123">
        <v>47.989</v>
      </c>
      <c r="I432" s="15">
        <f>$H432/$F432</f>
        <v>281.95652173913044</v>
      </c>
    </row>
    <row r="433" spans="1:9" ht="12.75" customHeight="1">
      <c r="A433" s="8" t="s">
        <v>67</v>
      </c>
      <c r="B433" s="22">
        <v>2003</v>
      </c>
      <c r="C433" s="31" t="s">
        <v>468</v>
      </c>
      <c r="D433" s="10" t="s">
        <v>385</v>
      </c>
      <c r="F433" s="42">
        <v>0.0808</v>
      </c>
      <c r="G433" s="79" t="s">
        <v>10</v>
      </c>
      <c r="H433" s="123">
        <v>69.54</v>
      </c>
      <c r="I433" s="15">
        <f>$H433/$F433</f>
        <v>860.6435643564357</v>
      </c>
    </row>
    <row r="434" spans="1:9" ht="12.75" customHeight="1">
      <c r="A434" s="8" t="s">
        <v>67</v>
      </c>
      <c r="B434" s="22">
        <v>2003</v>
      </c>
      <c r="D434" s="10" t="s">
        <v>482</v>
      </c>
      <c r="F434" s="42">
        <v>1.237</v>
      </c>
      <c r="H434" s="123">
        <v>401.717</v>
      </c>
      <c r="I434" s="15">
        <f>$H434/$F434</f>
        <v>324.75101050929663</v>
      </c>
    </row>
    <row r="435" ht="12.75" customHeight="1">
      <c r="H435" s="123"/>
    </row>
    <row r="436" spans="1:9" ht="12.75" customHeight="1">
      <c r="A436" s="8" t="s">
        <v>67</v>
      </c>
      <c r="B436" s="22">
        <v>2004</v>
      </c>
      <c r="C436" s="31" t="s">
        <v>22</v>
      </c>
      <c r="D436" s="10" t="s">
        <v>364</v>
      </c>
      <c r="F436" s="42">
        <v>0.624</v>
      </c>
      <c r="H436" s="123">
        <v>246.222</v>
      </c>
      <c r="I436" s="15">
        <f>$H436/$F436</f>
        <v>394.58653846153845</v>
      </c>
    </row>
    <row r="437" spans="1:9" ht="12.75" customHeight="1">
      <c r="A437" s="8" t="s">
        <v>67</v>
      </c>
      <c r="B437" s="22">
        <v>2004</v>
      </c>
      <c r="C437" s="9" t="s">
        <v>478</v>
      </c>
      <c r="D437" s="10" t="s">
        <v>327</v>
      </c>
      <c r="F437" s="42">
        <v>0.558</v>
      </c>
      <c r="H437" s="123">
        <v>112.883</v>
      </c>
      <c r="I437" s="15">
        <f>$H437/$F437</f>
        <v>202.29928315412184</v>
      </c>
    </row>
    <row r="438" spans="1:9" ht="12.75" customHeight="1">
      <c r="A438" s="8" t="s">
        <v>67</v>
      </c>
      <c r="B438" s="22">
        <v>2004</v>
      </c>
      <c r="C438" s="31" t="s">
        <v>468</v>
      </c>
      <c r="D438" s="10" t="s">
        <v>385</v>
      </c>
      <c r="F438" s="42">
        <v>0.242</v>
      </c>
      <c r="G438" s="79" t="s">
        <v>10</v>
      </c>
      <c r="H438" s="123">
        <v>172.003</v>
      </c>
      <c r="I438" s="15">
        <f>$H438/$F438</f>
        <v>710.7561983471074</v>
      </c>
    </row>
    <row r="439" spans="1:9" ht="12.75" customHeight="1">
      <c r="A439" s="8" t="s">
        <v>67</v>
      </c>
      <c r="B439" s="22">
        <v>2004</v>
      </c>
      <c r="C439" s="31" t="s">
        <v>728</v>
      </c>
      <c r="D439" s="10" t="s">
        <v>386</v>
      </c>
      <c r="F439" s="42">
        <v>0.184</v>
      </c>
      <c r="G439" s="79" t="s">
        <v>10</v>
      </c>
      <c r="H439" s="123">
        <v>42.816</v>
      </c>
      <c r="I439" s="15">
        <f>$H439/$F439</f>
        <v>232.69565217391306</v>
      </c>
    </row>
    <row r="440" spans="1:9" ht="12.75" customHeight="1">
      <c r="A440" s="8" t="s">
        <v>67</v>
      </c>
      <c r="B440" s="22">
        <v>2004</v>
      </c>
      <c r="D440" s="10" t="s">
        <v>482</v>
      </c>
      <c r="F440" s="42">
        <v>0</v>
      </c>
      <c r="G440" s="79" t="s">
        <v>10</v>
      </c>
      <c r="H440" s="123">
        <v>290.111</v>
      </c>
      <c r="I440" s="69" t="s">
        <v>71</v>
      </c>
    </row>
    <row r="441" ht="12.75" customHeight="1">
      <c r="H441" s="123"/>
    </row>
    <row r="442" ht="3" customHeight="1">
      <c r="H442" s="123"/>
    </row>
    <row r="443" spans="1:9" ht="12.75" customHeight="1">
      <c r="A443" s="58" t="s">
        <v>93</v>
      </c>
      <c r="B443" s="270">
        <v>2003</v>
      </c>
      <c r="C443" s="64" t="s">
        <v>725</v>
      </c>
      <c r="D443" s="230" t="s">
        <v>314</v>
      </c>
      <c r="E443" s="230"/>
      <c r="F443" s="284">
        <v>0.15</v>
      </c>
      <c r="G443" s="273" t="s">
        <v>10</v>
      </c>
      <c r="H443" s="123">
        <v>124</v>
      </c>
      <c r="I443" s="145">
        <f>$H443/$F443</f>
        <v>826.6666666666667</v>
      </c>
    </row>
    <row r="444" spans="1:9" ht="12.75" customHeight="1">
      <c r="A444" s="58" t="s">
        <v>93</v>
      </c>
      <c r="B444" s="270">
        <v>2003</v>
      </c>
      <c r="C444" s="64" t="s">
        <v>478</v>
      </c>
      <c r="D444" s="230" t="s">
        <v>327</v>
      </c>
      <c r="E444" s="230"/>
      <c r="F444" s="284">
        <f>0.15</f>
        <v>0.15</v>
      </c>
      <c r="G444" s="273" t="s">
        <v>10</v>
      </c>
      <c r="H444" s="123">
        <v>124</v>
      </c>
      <c r="I444" s="145">
        <f>$H444/$F444</f>
        <v>826.6666666666667</v>
      </c>
    </row>
    <row r="445" spans="1:9" ht="12.75" customHeight="1">
      <c r="A445" s="58" t="s">
        <v>93</v>
      </c>
      <c r="B445" s="270">
        <v>2003</v>
      </c>
      <c r="C445" s="64" t="s">
        <v>47</v>
      </c>
      <c r="D445" s="230" t="s">
        <v>352</v>
      </c>
      <c r="E445" s="230"/>
      <c r="F445" s="284">
        <v>0.15</v>
      </c>
      <c r="G445" s="273" t="s">
        <v>10</v>
      </c>
      <c r="H445" s="123">
        <v>124</v>
      </c>
      <c r="I445" s="145">
        <f>$H445/$F445</f>
        <v>826.6666666666667</v>
      </c>
    </row>
    <row r="446" spans="1:9" ht="12.75" customHeight="1">
      <c r="A446" s="58" t="s">
        <v>93</v>
      </c>
      <c r="B446" s="270">
        <v>2003</v>
      </c>
      <c r="C446" s="64" t="s">
        <v>25</v>
      </c>
      <c r="D446" s="230" t="s">
        <v>335</v>
      </c>
      <c r="E446" s="230"/>
      <c r="F446" s="284">
        <v>0.15</v>
      </c>
      <c r="G446" s="273" t="s">
        <v>10</v>
      </c>
      <c r="H446" s="123">
        <v>124</v>
      </c>
      <c r="I446" s="145">
        <f>$H446/$F446</f>
        <v>826.6666666666667</v>
      </c>
    </row>
    <row r="447" ht="12.75" customHeight="1"/>
    <row r="448" spans="1:9" ht="12.75" customHeight="1">
      <c r="A448" s="58" t="s">
        <v>93</v>
      </c>
      <c r="B448" s="270">
        <v>2004</v>
      </c>
      <c r="C448" s="64" t="s">
        <v>725</v>
      </c>
      <c r="D448" s="230" t="s">
        <v>314</v>
      </c>
      <c r="E448" s="230"/>
      <c r="F448" s="284">
        <v>0.48</v>
      </c>
      <c r="G448" s="273" t="s">
        <v>10</v>
      </c>
      <c r="H448" s="123">
        <v>166</v>
      </c>
      <c r="I448" s="285" t="s">
        <v>71</v>
      </c>
    </row>
    <row r="449" spans="1:9" ht="12.75" customHeight="1">
      <c r="A449" s="58" t="s">
        <v>93</v>
      </c>
      <c r="B449" s="270">
        <v>2004</v>
      </c>
      <c r="C449" s="64" t="s">
        <v>478</v>
      </c>
      <c r="D449" s="230" t="s">
        <v>327</v>
      </c>
      <c r="E449" s="230"/>
      <c r="F449" s="284">
        <v>0.48</v>
      </c>
      <c r="G449" s="273" t="s">
        <v>10</v>
      </c>
      <c r="H449" s="123">
        <v>166</v>
      </c>
      <c r="I449" s="285" t="s">
        <v>71</v>
      </c>
    </row>
    <row r="450" spans="1:9" ht="12.75" customHeight="1">
      <c r="A450" s="58" t="s">
        <v>93</v>
      </c>
      <c r="B450" s="270">
        <v>2004</v>
      </c>
      <c r="C450" s="64" t="s">
        <v>47</v>
      </c>
      <c r="D450" s="230" t="s">
        <v>352</v>
      </c>
      <c r="E450" s="230"/>
      <c r="F450" s="284">
        <v>0.48</v>
      </c>
      <c r="G450" s="273" t="s">
        <v>10</v>
      </c>
      <c r="H450" s="123">
        <v>166</v>
      </c>
      <c r="I450" s="285" t="s">
        <v>71</v>
      </c>
    </row>
    <row r="451" spans="1:9" ht="12.75" customHeight="1">
      <c r="A451" s="58" t="s">
        <v>93</v>
      </c>
      <c r="B451" s="270">
        <v>2004</v>
      </c>
      <c r="C451" s="64" t="s">
        <v>25</v>
      </c>
      <c r="D451" s="230" t="s">
        <v>335</v>
      </c>
      <c r="E451" s="230"/>
      <c r="F451" s="284">
        <v>0.48</v>
      </c>
      <c r="G451" s="273" t="s">
        <v>10</v>
      </c>
      <c r="H451" s="123">
        <v>166</v>
      </c>
      <c r="I451" s="285" t="s">
        <v>71</v>
      </c>
    </row>
    <row r="470" ht="15.75"/>
    <row r="471" ht="15.75"/>
    <row r="472" ht="15.75"/>
    <row r="473" ht="15.75"/>
    <row r="474" ht="15.75"/>
    <row r="477" ht="15.75"/>
    <row r="478" ht="15.75"/>
    <row r="479" ht="15.75"/>
    <row r="481" ht="15.75"/>
  </sheetData>
  <mergeCells count="120">
    <mergeCell ref="F178:F182"/>
    <mergeCell ref="I178:I182"/>
    <mergeCell ref="H178:H182"/>
    <mergeCell ref="I201:I205"/>
    <mergeCell ref="F195:F196"/>
    <mergeCell ref="I195:I196"/>
    <mergeCell ref="F184:F186"/>
    <mergeCell ref="I184:I186"/>
    <mergeCell ref="F190:F193"/>
    <mergeCell ref="I190:I193"/>
    <mergeCell ref="F412:F413"/>
    <mergeCell ref="G412:G413"/>
    <mergeCell ref="F207:F209"/>
    <mergeCell ref="I207:I209"/>
    <mergeCell ref="F213:F216"/>
    <mergeCell ref="I213:I216"/>
    <mergeCell ref="F325:F331"/>
    <mergeCell ref="I325:I331"/>
    <mergeCell ref="F218:F219"/>
    <mergeCell ref="I412:I413"/>
    <mergeCell ref="F63:F65"/>
    <mergeCell ref="G63:G65"/>
    <mergeCell ref="H63:H65"/>
    <mergeCell ref="I63:I65"/>
    <mergeCell ref="F44:F48"/>
    <mergeCell ref="G44:G48"/>
    <mergeCell ref="H44:H48"/>
    <mergeCell ref="I44:I48"/>
    <mergeCell ref="I54:I57"/>
    <mergeCell ref="F59:F61"/>
    <mergeCell ref="I59:I61"/>
    <mergeCell ref="H54:H57"/>
    <mergeCell ref="H59:H61"/>
    <mergeCell ref="I317:I323"/>
    <mergeCell ref="G317:G323"/>
    <mergeCell ref="F201:F205"/>
    <mergeCell ref="F317:F323"/>
    <mergeCell ref="I218:I219"/>
    <mergeCell ref="G325:G331"/>
    <mergeCell ref="H184:H186"/>
    <mergeCell ref="H190:H193"/>
    <mergeCell ref="H195:H196"/>
    <mergeCell ref="H201:H205"/>
    <mergeCell ref="H412:H413"/>
    <mergeCell ref="H207:H209"/>
    <mergeCell ref="H213:H216"/>
    <mergeCell ref="H218:H219"/>
    <mergeCell ref="H317:H323"/>
    <mergeCell ref="H325:H331"/>
    <mergeCell ref="F142:F144"/>
    <mergeCell ref="H142:H144"/>
    <mergeCell ref="I142:I144"/>
    <mergeCell ref="F35:F38"/>
    <mergeCell ref="H35:H38"/>
    <mergeCell ref="I35:I38"/>
    <mergeCell ref="F40:F42"/>
    <mergeCell ref="H40:H42"/>
    <mergeCell ref="I40:I42"/>
    <mergeCell ref="F54:F57"/>
    <mergeCell ref="G152:G155"/>
    <mergeCell ref="F146:F150"/>
    <mergeCell ref="H146:H150"/>
    <mergeCell ref="I146:I150"/>
    <mergeCell ref="F152:F155"/>
    <mergeCell ref="H152:H155"/>
    <mergeCell ref="I152:I155"/>
    <mergeCell ref="F138:F140"/>
    <mergeCell ref="G138:G140"/>
    <mergeCell ref="H138:H140"/>
    <mergeCell ref="I138:I140"/>
    <mergeCell ref="F171:F174"/>
    <mergeCell ref="G171:G174"/>
    <mergeCell ref="H171:H174"/>
    <mergeCell ref="I171:I174"/>
    <mergeCell ref="F157:F159"/>
    <mergeCell ref="H157:H159"/>
    <mergeCell ref="I157:I159"/>
    <mergeCell ref="F161:F165"/>
    <mergeCell ref="H161:H165"/>
    <mergeCell ref="I161:I165"/>
    <mergeCell ref="F167:F169"/>
    <mergeCell ref="G167:G169"/>
    <mergeCell ref="H167:H169"/>
    <mergeCell ref="I167:I169"/>
    <mergeCell ref="F105:F107"/>
    <mergeCell ref="H105:H107"/>
    <mergeCell ref="I105:I107"/>
    <mergeCell ref="F109:F113"/>
    <mergeCell ref="H109:H113"/>
    <mergeCell ref="I109:I113"/>
    <mergeCell ref="F117:F119"/>
    <mergeCell ref="H117:H119"/>
    <mergeCell ref="I117:I119"/>
    <mergeCell ref="F121:F125"/>
    <mergeCell ref="H121:H125"/>
    <mergeCell ref="I121:I125"/>
    <mergeCell ref="F81:F84"/>
    <mergeCell ref="G81:G84"/>
    <mergeCell ref="H81:H84"/>
    <mergeCell ref="I81:I84"/>
    <mergeCell ref="F71:F73"/>
    <mergeCell ref="H71:H73"/>
    <mergeCell ref="I71:I73"/>
    <mergeCell ref="F75:F79"/>
    <mergeCell ref="H75:H79"/>
    <mergeCell ref="I75:I79"/>
    <mergeCell ref="F98:F101"/>
    <mergeCell ref="G98:G101"/>
    <mergeCell ref="H98:H101"/>
    <mergeCell ref="I98:I101"/>
    <mergeCell ref="F88:F90"/>
    <mergeCell ref="H88:H90"/>
    <mergeCell ref="I88:I90"/>
    <mergeCell ref="F92:F96"/>
    <mergeCell ref="H92:H96"/>
    <mergeCell ref="I92:I96"/>
    <mergeCell ref="F423:F424"/>
    <mergeCell ref="G423:G424"/>
    <mergeCell ref="H423:H424"/>
    <mergeCell ref="I423:I424"/>
  </mergeCells>
  <printOptions horizontalCentered="1"/>
  <pageMargins left="0.5905511811023623" right="0.5905511811023623" top="0.7874015748031497" bottom="0.5905511811023623" header="0.2362204724409449" footer="0.2362204724409449"/>
  <pageSetup fitToHeight="25" horizontalDpi="600" verticalDpi="600" orientation="portrait" paperSize="9" scale="91" r:id="rId3"/>
  <rowBreaks count="7" manualBreakCount="7">
    <brk id="69" max="8" man="1"/>
    <brk id="136" max="8" man="1"/>
    <brk id="199" max="8" man="1"/>
    <brk id="257" max="8" man="1"/>
    <brk id="315" max="8" man="1"/>
    <brk id="376" max="8" man="1"/>
    <brk id="44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4"/>
  <sheetViews>
    <sheetView view="pageBreakPreview" zoomScale="115" zoomScaleNormal="90" zoomScaleSheetLayoutView="115" workbookViewId="0" topLeftCell="A1">
      <selection activeCell="A38" sqref="A38"/>
    </sheetView>
  </sheetViews>
  <sheetFormatPr defaultColWidth="9.140625" defaultRowHeight="12.75"/>
  <cols>
    <col min="1" max="1" width="17.28125" style="8" customWidth="1"/>
    <col min="2" max="2" width="5.8515625" style="22" customWidth="1"/>
    <col min="3" max="3" width="28.7109375" style="9" customWidth="1"/>
    <col min="4" max="4" width="24.140625" style="10" customWidth="1"/>
    <col min="5" max="5" width="1.7109375" style="44" customWidth="1"/>
    <col min="6" max="6" width="8.7109375" style="40" customWidth="1"/>
    <col min="7" max="7" width="3.140625" style="79" customWidth="1"/>
    <col min="8" max="8" width="8.7109375" style="15" hidden="1" customWidth="1"/>
    <col min="9" max="9" width="8.7109375" style="15" customWidth="1"/>
    <col min="10" max="10" width="9.00390625" style="8" customWidth="1"/>
    <col min="11" max="16384" width="9.140625" style="8" customWidth="1"/>
  </cols>
  <sheetData>
    <row r="1" spans="1:10" s="58" customFormat="1" ht="19.5" customHeight="1">
      <c r="A1" s="108" t="s">
        <v>35</v>
      </c>
      <c r="B1" s="108"/>
      <c r="C1" s="108"/>
      <c r="D1" s="108"/>
      <c r="E1" s="108"/>
      <c r="F1" s="108"/>
      <c r="G1" s="116"/>
      <c r="H1" s="142"/>
      <c r="I1" s="108"/>
      <c r="J1" s="23"/>
    </row>
    <row r="2" spans="1:9" ht="15.75">
      <c r="A2" s="8" t="s">
        <v>0</v>
      </c>
      <c r="B2" s="22" t="s">
        <v>31</v>
      </c>
      <c r="C2" s="8" t="s">
        <v>29</v>
      </c>
      <c r="D2" s="8" t="s">
        <v>41</v>
      </c>
      <c r="E2" s="8"/>
      <c r="F2" s="18" t="s">
        <v>1</v>
      </c>
      <c r="H2" s="130" t="s">
        <v>2</v>
      </c>
      <c r="I2" s="18" t="s">
        <v>2</v>
      </c>
    </row>
    <row r="3" spans="1:9" ht="15.75">
      <c r="A3" s="7"/>
      <c r="B3" s="30"/>
      <c r="C3" s="7" t="s">
        <v>28</v>
      </c>
      <c r="D3" s="7"/>
      <c r="E3" s="7"/>
      <c r="F3" s="13" t="s">
        <v>91</v>
      </c>
      <c r="G3" s="114"/>
      <c r="H3" s="131" t="s">
        <v>92</v>
      </c>
      <c r="I3" s="13" t="s">
        <v>92</v>
      </c>
    </row>
    <row r="4" spans="3:9" ht="3" customHeight="1">
      <c r="C4" s="8"/>
      <c r="D4" s="8"/>
      <c r="E4" s="8"/>
      <c r="F4" s="18"/>
      <c r="H4" s="130"/>
      <c r="I4" s="18"/>
    </row>
    <row r="5" spans="1:9" ht="12.75" customHeight="1">
      <c r="A5" s="8" t="s">
        <v>562</v>
      </c>
      <c r="B5" s="22">
        <v>2003</v>
      </c>
      <c r="C5" s="22" t="s">
        <v>163</v>
      </c>
      <c r="D5" s="8" t="s">
        <v>42</v>
      </c>
      <c r="E5" s="8"/>
      <c r="F5" s="19">
        <v>9.9125</v>
      </c>
      <c r="H5" s="120">
        <v>7013.37877382057</v>
      </c>
      <c r="I5" s="47">
        <f aca="true" t="shared" si="0" ref="I5:I15">$H5/$F5</f>
        <v>707.5287539793766</v>
      </c>
    </row>
    <row r="6" spans="1:9" ht="12.75" customHeight="1">
      <c r="A6" s="8" t="s">
        <v>562</v>
      </c>
      <c r="B6" s="22">
        <v>2003</v>
      </c>
      <c r="C6" s="22" t="s">
        <v>578</v>
      </c>
      <c r="D6" s="8"/>
      <c r="E6" s="8"/>
      <c r="F6" s="19">
        <v>3.9725</v>
      </c>
      <c r="H6" s="120">
        <v>3594.1745771179785</v>
      </c>
      <c r="I6" s="47">
        <f t="shared" si="0"/>
        <v>904.763896064941</v>
      </c>
    </row>
    <row r="7" spans="1:9" ht="12.75" customHeight="1">
      <c r="A7" s="8" t="s">
        <v>562</v>
      </c>
      <c r="B7" s="22">
        <v>2003</v>
      </c>
      <c r="C7" s="22" t="s">
        <v>162</v>
      </c>
      <c r="D7" s="8"/>
      <c r="E7" s="8"/>
      <c r="F7" s="19">
        <v>1.8</v>
      </c>
      <c r="H7" s="120">
        <v>1044.0097066590536</v>
      </c>
      <c r="I7" s="47">
        <f t="shared" si="0"/>
        <v>580.0053925883631</v>
      </c>
    </row>
    <row r="8" spans="1:9" ht="12.75" customHeight="1">
      <c r="A8" s="8" t="s">
        <v>562</v>
      </c>
      <c r="B8" s="22">
        <v>2003</v>
      </c>
      <c r="C8" s="22" t="s">
        <v>573</v>
      </c>
      <c r="D8" s="8"/>
      <c r="E8" s="8"/>
      <c r="F8" s="19">
        <v>0.67</v>
      </c>
      <c r="H8" s="120">
        <v>880.7565484262365</v>
      </c>
      <c r="I8" s="47">
        <f t="shared" si="0"/>
        <v>1314.5620125764722</v>
      </c>
    </row>
    <row r="9" spans="1:9" ht="12.75" customHeight="1">
      <c r="A9" s="8" t="s">
        <v>562</v>
      </c>
      <c r="B9" s="22">
        <v>2003</v>
      </c>
      <c r="C9" s="22" t="s">
        <v>577</v>
      </c>
      <c r="D9" s="8"/>
      <c r="E9" s="8"/>
      <c r="F9" s="19">
        <v>0.355</v>
      </c>
      <c r="G9" s="79" t="s">
        <v>10</v>
      </c>
      <c r="H9" s="120">
        <v>342.42166868888734</v>
      </c>
      <c r="I9" s="47">
        <f t="shared" si="0"/>
        <v>964.5680808137672</v>
      </c>
    </row>
    <row r="10" spans="1:9" ht="12.75" customHeight="1">
      <c r="A10" s="8" t="s">
        <v>562</v>
      </c>
      <c r="B10" s="22">
        <v>2003</v>
      </c>
      <c r="C10" s="22" t="s">
        <v>576</v>
      </c>
      <c r="D10" s="8"/>
      <c r="E10" s="8"/>
      <c r="F10" s="19">
        <v>0.2625</v>
      </c>
      <c r="G10" s="79" t="s">
        <v>10</v>
      </c>
      <c r="H10" s="120">
        <v>280.6709014345871</v>
      </c>
      <c r="I10" s="47">
        <f t="shared" si="0"/>
        <v>1069.22248165557</v>
      </c>
    </row>
    <row r="11" spans="1:9" ht="12.75" customHeight="1">
      <c r="A11" s="8" t="s">
        <v>562</v>
      </c>
      <c r="B11" s="22">
        <v>2003</v>
      </c>
      <c r="C11" s="22" t="s">
        <v>82</v>
      </c>
      <c r="D11" s="8"/>
      <c r="E11" s="8"/>
      <c r="F11" s="19">
        <v>0.0325</v>
      </c>
      <c r="G11" s="79" t="s">
        <v>10</v>
      </c>
      <c r="H11" s="120">
        <v>28.498322746413532</v>
      </c>
      <c r="I11" s="47">
        <f t="shared" si="0"/>
        <v>876.8714691204164</v>
      </c>
    </row>
    <row r="12" spans="1:9" ht="12.75" customHeight="1">
      <c r="A12" s="8" t="s">
        <v>562</v>
      </c>
      <c r="B12" s="22">
        <v>2003</v>
      </c>
      <c r="C12" s="22" t="s">
        <v>168</v>
      </c>
      <c r="D12" s="8"/>
      <c r="E12" s="8"/>
      <c r="F12" s="19">
        <v>0.0225</v>
      </c>
      <c r="G12" s="79" t="s">
        <v>10</v>
      </c>
      <c r="H12" s="120">
        <v>36.332167582613664</v>
      </c>
      <c r="I12" s="47">
        <f t="shared" si="0"/>
        <v>1614.7630036717185</v>
      </c>
    </row>
    <row r="13" spans="1:9" ht="12.75" customHeight="1">
      <c r="A13" s="8" t="s">
        <v>562</v>
      </c>
      <c r="B13" s="22">
        <v>2003</v>
      </c>
      <c r="C13" s="22" t="s">
        <v>579</v>
      </c>
      <c r="D13" s="8"/>
      <c r="E13" s="8"/>
      <c r="F13" s="19">
        <v>0.02</v>
      </c>
      <c r="G13" s="79" t="s">
        <v>10</v>
      </c>
      <c r="H13" s="120">
        <v>28.165013203911215</v>
      </c>
      <c r="I13" s="47">
        <f t="shared" si="0"/>
        <v>1408.2506601955606</v>
      </c>
    </row>
    <row r="14" spans="1:9" ht="12.75" customHeight="1">
      <c r="A14" s="8" t="s">
        <v>562</v>
      </c>
      <c r="B14" s="22">
        <v>2003</v>
      </c>
      <c r="C14" s="22" t="s">
        <v>574</v>
      </c>
      <c r="D14" s="8"/>
      <c r="E14" s="8"/>
      <c r="F14" s="19">
        <v>0.0075</v>
      </c>
      <c r="G14" s="79" t="s">
        <v>10</v>
      </c>
      <c r="H14" s="120">
        <v>8.0072799942902</v>
      </c>
      <c r="I14" s="47">
        <f t="shared" si="0"/>
        <v>1067.637332572027</v>
      </c>
    </row>
    <row r="15" spans="1:9" ht="12.75" customHeight="1">
      <c r="A15" s="8" t="s">
        <v>562</v>
      </c>
      <c r="B15" s="22">
        <v>2003</v>
      </c>
      <c r="C15" s="22" t="s">
        <v>575</v>
      </c>
      <c r="D15" s="8"/>
      <c r="E15" s="8"/>
      <c r="F15" s="19">
        <v>0.005</v>
      </c>
      <c r="G15" s="79" t="s">
        <v>10</v>
      </c>
      <c r="H15" s="120">
        <v>5.987438441224752</v>
      </c>
      <c r="I15" s="47">
        <f t="shared" si="0"/>
        <v>1197.4876882449503</v>
      </c>
    </row>
    <row r="16" spans="3:9" ht="12.75" customHeight="1">
      <c r="C16" s="8"/>
      <c r="D16" s="8"/>
      <c r="E16" s="8"/>
      <c r="F16" s="19"/>
      <c r="H16" s="120"/>
      <c r="I16" s="19"/>
    </row>
    <row r="17" spans="1:9" ht="12.75" customHeight="1">
      <c r="A17" s="8" t="s">
        <v>562</v>
      </c>
      <c r="B17" s="22">
        <v>2004</v>
      </c>
      <c r="C17" s="22" t="s">
        <v>578</v>
      </c>
      <c r="D17" s="8" t="s">
        <v>42</v>
      </c>
      <c r="E17" s="8"/>
      <c r="F17" s="19">
        <v>4</v>
      </c>
      <c r="H17" s="120">
        <v>3872.1222136817837</v>
      </c>
      <c r="I17" s="47">
        <f aca="true" t="shared" si="1" ref="I17:I25">$H17/$F17</f>
        <v>968.0305534204459</v>
      </c>
    </row>
    <row r="18" spans="1:9" ht="12.75" customHeight="1">
      <c r="A18" s="8" t="s">
        <v>562</v>
      </c>
      <c r="B18" s="22">
        <v>2004</v>
      </c>
      <c r="C18" s="22" t="s">
        <v>162</v>
      </c>
      <c r="D18" s="8"/>
      <c r="E18" s="8"/>
      <c r="F18" s="19">
        <v>3</v>
      </c>
      <c r="H18" s="120">
        <v>1612.8439661798616</v>
      </c>
      <c r="I18" s="47">
        <f t="shared" si="1"/>
        <v>537.6146553932872</v>
      </c>
    </row>
    <row r="19" spans="1:9" ht="12.75" customHeight="1">
      <c r="A19" s="8" t="s">
        <v>562</v>
      </c>
      <c r="B19" s="22">
        <v>2004</v>
      </c>
      <c r="C19" s="22" t="s">
        <v>163</v>
      </c>
      <c r="D19" s="8"/>
      <c r="E19" s="8"/>
      <c r="F19" s="19">
        <v>3</v>
      </c>
      <c r="H19" s="120">
        <v>4367.995388162952</v>
      </c>
      <c r="I19" s="47">
        <f t="shared" si="1"/>
        <v>1455.998462720984</v>
      </c>
    </row>
    <row r="20" spans="1:9" ht="12.75" customHeight="1">
      <c r="A20" s="8" t="s">
        <v>562</v>
      </c>
      <c r="B20" s="22">
        <v>2004</v>
      </c>
      <c r="C20" s="22" t="s">
        <v>579</v>
      </c>
      <c r="D20" s="8"/>
      <c r="E20" s="8"/>
      <c r="F20" s="19">
        <v>0</v>
      </c>
      <c r="G20" s="79" t="s">
        <v>10</v>
      </c>
      <c r="H20" s="120">
        <v>2736.196771714066</v>
      </c>
      <c r="I20" s="70" t="s">
        <v>71</v>
      </c>
    </row>
    <row r="21" spans="1:9" ht="12.75" customHeight="1">
      <c r="A21" s="8" t="s">
        <v>562</v>
      </c>
      <c r="B21" s="22">
        <v>2004</v>
      </c>
      <c r="C21" s="22" t="s">
        <v>573</v>
      </c>
      <c r="D21" s="8"/>
      <c r="E21" s="8"/>
      <c r="F21" s="19">
        <v>1</v>
      </c>
      <c r="H21" s="120">
        <v>396.0038431975404</v>
      </c>
      <c r="I21" s="47">
        <f t="shared" si="1"/>
        <v>396.0038431975404</v>
      </c>
    </row>
    <row r="22" spans="1:9" ht="12.75" customHeight="1">
      <c r="A22" s="8" t="s">
        <v>562</v>
      </c>
      <c r="B22" s="22">
        <v>2004</v>
      </c>
      <c r="C22" s="22" t="s">
        <v>576</v>
      </c>
      <c r="D22" s="8"/>
      <c r="E22" s="8"/>
      <c r="F22" s="19">
        <v>0.072</v>
      </c>
      <c r="G22" s="79" t="s">
        <v>10</v>
      </c>
      <c r="H22" s="120">
        <v>78.41045349730976</v>
      </c>
      <c r="I22" s="47">
        <f t="shared" si="1"/>
        <v>1089.0340763515246</v>
      </c>
    </row>
    <row r="23" spans="1:9" ht="12.75" customHeight="1">
      <c r="A23" s="8" t="s">
        <v>562</v>
      </c>
      <c r="B23" s="22">
        <v>2004</v>
      </c>
      <c r="C23" s="22" t="s">
        <v>168</v>
      </c>
      <c r="D23" s="8"/>
      <c r="E23" s="8"/>
      <c r="F23" s="19">
        <v>0.021</v>
      </c>
      <c r="G23" s="79" t="s">
        <v>10</v>
      </c>
      <c r="H23" s="120">
        <v>29.136049192928517</v>
      </c>
      <c r="I23" s="47">
        <f t="shared" si="1"/>
        <v>1387.430913948977</v>
      </c>
    </row>
    <row r="24" spans="1:9" ht="12.75" customHeight="1">
      <c r="A24" s="8" t="s">
        <v>562</v>
      </c>
      <c r="B24" s="22">
        <v>2004</v>
      </c>
      <c r="C24" s="22" t="s">
        <v>575</v>
      </c>
      <c r="D24" s="8"/>
      <c r="E24" s="8"/>
      <c r="F24" s="19">
        <v>0.005</v>
      </c>
      <c r="G24" s="79" t="s">
        <v>10</v>
      </c>
      <c r="H24" s="120">
        <v>4.249807840122982</v>
      </c>
      <c r="I24" s="47">
        <f t="shared" si="1"/>
        <v>849.9615680245964</v>
      </c>
    </row>
    <row r="25" spans="1:9" ht="12.75" customHeight="1">
      <c r="A25" s="8" t="s">
        <v>562</v>
      </c>
      <c r="B25" s="22">
        <v>2004</v>
      </c>
      <c r="C25" s="22" t="s">
        <v>577</v>
      </c>
      <c r="D25" s="8"/>
      <c r="E25" s="8"/>
      <c r="F25" s="19">
        <v>0.004</v>
      </c>
      <c r="G25" s="79" t="s">
        <v>10</v>
      </c>
      <c r="H25" s="120">
        <v>8.703305149884706</v>
      </c>
      <c r="I25" s="47">
        <f t="shared" si="1"/>
        <v>2175.8262874711763</v>
      </c>
    </row>
    <row r="26" spans="1:9" ht="12.75" customHeight="1">
      <c r="A26" s="165"/>
      <c r="B26" s="166"/>
      <c r="C26" s="165"/>
      <c r="D26" s="165"/>
      <c r="E26" s="165"/>
      <c r="F26" s="203"/>
      <c r="G26" s="173"/>
      <c r="H26" s="204"/>
      <c r="I26" s="203"/>
    </row>
    <row r="27" spans="1:9" ht="12.75" customHeight="1">
      <c r="A27" s="8" t="s">
        <v>680</v>
      </c>
      <c r="B27" s="22">
        <v>2003</v>
      </c>
      <c r="C27" s="9" t="s">
        <v>278</v>
      </c>
      <c r="D27" s="10" t="s">
        <v>316</v>
      </c>
      <c r="E27" s="10"/>
      <c r="F27" s="42">
        <f>2.187/1000</f>
        <v>0.0021869999999999997</v>
      </c>
      <c r="G27" s="79" t="s">
        <v>10</v>
      </c>
      <c r="H27" s="120">
        <f>101645/10</f>
        <v>10164.5</v>
      </c>
      <c r="I27" s="47">
        <f>$H27/$F27/1000</f>
        <v>4647.690900777321</v>
      </c>
    </row>
    <row r="28" spans="1:9" ht="12.75" customHeight="1">
      <c r="A28" s="8" t="s">
        <v>680</v>
      </c>
      <c r="B28" s="22">
        <v>2003</v>
      </c>
      <c r="C28" s="9" t="s">
        <v>464</v>
      </c>
      <c r="D28" s="10" t="s">
        <v>324</v>
      </c>
      <c r="E28" s="10"/>
      <c r="F28" s="42">
        <f>0.091/1000</f>
        <v>9.1E-05</v>
      </c>
      <c r="G28" s="79" t="s">
        <v>10</v>
      </c>
      <c r="H28" s="120">
        <f>409/10</f>
        <v>40.9</v>
      </c>
      <c r="I28" s="47">
        <f>$H28/$F28/1000</f>
        <v>449.45054945054943</v>
      </c>
    </row>
    <row r="29" spans="1:9" ht="12.75" customHeight="1">
      <c r="A29" s="8" t="s">
        <v>680</v>
      </c>
      <c r="B29" s="22">
        <v>2003</v>
      </c>
      <c r="C29" s="9" t="s">
        <v>292</v>
      </c>
      <c r="D29" s="10" t="s">
        <v>340</v>
      </c>
      <c r="E29" s="10"/>
      <c r="F29" s="42">
        <f>0.003/1000</f>
        <v>3E-06</v>
      </c>
      <c r="G29" s="79" t="s">
        <v>10</v>
      </c>
      <c r="H29" s="120">
        <f>859/10</f>
        <v>85.9</v>
      </c>
      <c r="I29" s="70" t="s">
        <v>71</v>
      </c>
    </row>
    <row r="30" spans="1:9" ht="12.75" customHeight="1">
      <c r="A30" s="8" t="s">
        <v>680</v>
      </c>
      <c r="B30" s="22">
        <v>2003</v>
      </c>
      <c r="C30" s="9" t="s">
        <v>477</v>
      </c>
      <c r="D30" s="10" t="s">
        <v>347</v>
      </c>
      <c r="E30" s="10"/>
      <c r="F30" s="42">
        <f>7.201/1000</f>
        <v>0.007201</v>
      </c>
      <c r="G30" s="79" t="s">
        <v>10</v>
      </c>
      <c r="H30" s="120">
        <f>32408/10</f>
        <v>3240.8</v>
      </c>
      <c r="I30" s="47">
        <f>$H30/$F30/1000</f>
        <v>450.0486043605055</v>
      </c>
    </row>
    <row r="31" spans="1:9" ht="12.75" customHeight="1">
      <c r="A31" s="8" t="s">
        <v>680</v>
      </c>
      <c r="B31" s="22">
        <v>2003</v>
      </c>
      <c r="C31" s="9" t="s">
        <v>279</v>
      </c>
      <c r="D31" s="10" t="s">
        <v>336</v>
      </c>
      <c r="E31" s="10"/>
      <c r="F31" s="42">
        <f>5.944/1000</f>
        <v>0.005944</v>
      </c>
      <c r="G31" s="79" t="s">
        <v>10</v>
      </c>
      <c r="H31" s="120">
        <f>26750/10</f>
        <v>2675</v>
      </c>
      <c r="I31" s="47">
        <f>$H31/$F31/1000</f>
        <v>450.0336473755047</v>
      </c>
    </row>
    <row r="32" spans="1:9" ht="12.75" customHeight="1">
      <c r="A32" s="8" t="s">
        <v>680</v>
      </c>
      <c r="B32" s="22">
        <v>2003</v>
      </c>
      <c r="C32" s="9" t="s">
        <v>466</v>
      </c>
      <c r="D32" s="10" t="s">
        <v>326</v>
      </c>
      <c r="E32" s="10"/>
      <c r="F32" s="42">
        <f>0.006/1000</f>
        <v>6E-06</v>
      </c>
      <c r="G32" s="79" t="s">
        <v>10</v>
      </c>
      <c r="H32" s="120">
        <f>4/10</f>
        <v>0.4</v>
      </c>
      <c r="I32" s="47">
        <f>$H32/$F32/1000</f>
        <v>66.66666666666667</v>
      </c>
    </row>
    <row r="33" spans="1:9" ht="12.75" customHeight="1">
      <c r="A33" s="8" t="s">
        <v>680</v>
      </c>
      <c r="B33" s="22">
        <v>2003</v>
      </c>
      <c r="C33" s="9" t="s">
        <v>277</v>
      </c>
      <c r="D33" s="10" t="s">
        <v>318</v>
      </c>
      <c r="E33" s="10"/>
      <c r="F33" s="42">
        <f>1.115/1000</f>
        <v>0.0011149999999999999</v>
      </c>
      <c r="G33" s="79" t="s">
        <v>10</v>
      </c>
      <c r="H33" s="120">
        <f>714/10</f>
        <v>71.4</v>
      </c>
      <c r="I33" s="47">
        <f>$H33/$F33/1000</f>
        <v>64.03587443946189</v>
      </c>
    </row>
    <row r="34" spans="1:9" ht="12.75" customHeight="1">
      <c r="A34" s="8" t="s">
        <v>680</v>
      </c>
      <c r="B34" s="22">
        <v>2003</v>
      </c>
      <c r="C34" s="9" t="s">
        <v>7</v>
      </c>
      <c r="D34" s="10" t="s">
        <v>376</v>
      </c>
      <c r="E34" s="10"/>
      <c r="F34" s="42">
        <f>(2.729+10.891)/1000</f>
        <v>0.01362</v>
      </c>
      <c r="G34" s="79" t="s">
        <v>10</v>
      </c>
      <c r="H34" s="120">
        <f>(371+49013)/10</f>
        <v>4938.4</v>
      </c>
      <c r="I34" s="47">
        <f>$H34/$F34/1000</f>
        <v>362.5844346549192</v>
      </c>
    </row>
    <row r="35" spans="3:9" ht="12.75" customHeight="1">
      <c r="C35" s="8"/>
      <c r="D35" s="8"/>
      <c r="E35" s="8"/>
      <c r="F35" s="19"/>
      <c r="H35" s="120"/>
      <c r="I35" s="19"/>
    </row>
    <row r="36" spans="1:9" ht="12.75" customHeight="1">
      <c r="A36" s="49" t="s">
        <v>30</v>
      </c>
      <c r="B36" s="36"/>
      <c r="C36" s="10"/>
      <c r="E36" s="10"/>
      <c r="F36" s="52"/>
      <c r="H36" s="130"/>
      <c r="I36" s="18"/>
    </row>
    <row r="37" spans="1:9" s="165" customFormat="1" ht="3" customHeight="1">
      <c r="A37" s="217"/>
      <c r="B37" s="166"/>
      <c r="C37" s="185"/>
      <c r="F37" s="198"/>
      <c r="G37" s="173"/>
      <c r="H37" s="200"/>
      <c r="I37" s="198"/>
    </row>
    <row r="38" spans="1:9" ht="12.75" customHeight="1">
      <c r="A38" s="48" t="s">
        <v>88</v>
      </c>
      <c r="B38" s="22">
        <v>2003</v>
      </c>
      <c r="C38" s="55" t="s">
        <v>64</v>
      </c>
      <c r="D38" s="10" t="s">
        <v>355</v>
      </c>
      <c r="E38" s="242"/>
      <c r="F38" s="352">
        <v>2.08</v>
      </c>
      <c r="H38" s="363">
        <f>17.009*1000/6.588</f>
        <v>2581.8154219793564</v>
      </c>
      <c r="I38" s="365">
        <f>$H38/$F38</f>
        <v>1241.257414413152</v>
      </c>
    </row>
    <row r="39" spans="1:9" ht="12.75" customHeight="1">
      <c r="A39" s="48" t="s">
        <v>88</v>
      </c>
      <c r="B39" s="22">
        <v>2003</v>
      </c>
      <c r="C39" s="55" t="s">
        <v>14</v>
      </c>
      <c r="D39" s="10" t="s">
        <v>345</v>
      </c>
      <c r="E39" s="244"/>
      <c r="F39" s="352"/>
      <c r="H39" s="363"/>
      <c r="I39" s="365" t="e">
        <f>$H39/$F39</f>
        <v>#DIV/0!</v>
      </c>
    </row>
    <row r="40" spans="1:9" ht="3" customHeight="1">
      <c r="A40" s="48"/>
      <c r="C40" s="55"/>
      <c r="E40" s="10"/>
      <c r="F40" s="148"/>
      <c r="H40" s="135"/>
      <c r="I40" s="47"/>
    </row>
    <row r="41" spans="1:9" ht="12.75" customHeight="1">
      <c r="A41" s="48" t="s">
        <v>88</v>
      </c>
      <c r="B41" s="22">
        <v>2003</v>
      </c>
      <c r="C41" s="55" t="s">
        <v>9</v>
      </c>
      <c r="D41" s="10" t="s">
        <v>332</v>
      </c>
      <c r="E41" s="242"/>
      <c r="F41" s="352">
        <v>0.936</v>
      </c>
      <c r="H41" s="363">
        <f>6.629*1000/6.588</f>
        <v>1006.2234365513054</v>
      </c>
      <c r="I41" s="365">
        <f>$H41/$F41</f>
        <v>1075.02503905054</v>
      </c>
    </row>
    <row r="42" spans="1:9" ht="12.75" customHeight="1">
      <c r="A42" s="48" t="s">
        <v>88</v>
      </c>
      <c r="B42" s="22">
        <v>2003</v>
      </c>
      <c r="C42" s="55" t="s">
        <v>479</v>
      </c>
      <c r="D42" s="10" t="s">
        <v>374</v>
      </c>
      <c r="E42" s="243"/>
      <c r="F42" s="352"/>
      <c r="H42" s="363"/>
      <c r="I42" s="365" t="e">
        <f>$H42/$F42</f>
        <v>#DIV/0!</v>
      </c>
    </row>
    <row r="43" spans="1:9" ht="12.75" customHeight="1">
      <c r="A43" s="48" t="s">
        <v>88</v>
      </c>
      <c r="B43" s="22">
        <v>2003</v>
      </c>
      <c r="C43" s="55" t="s">
        <v>284</v>
      </c>
      <c r="E43" s="244"/>
      <c r="F43" s="148"/>
      <c r="H43" s="135"/>
      <c r="I43" s="47"/>
    </row>
    <row r="44" spans="1:9" ht="3" customHeight="1">
      <c r="A44" s="48"/>
      <c r="C44" s="55"/>
      <c r="E44" s="10"/>
      <c r="F44" s="148"/>
      <c r="H44" s="135"/>
      <c r="I44" s="47"/>
    </row>
    <row r="45" spans="1:9" ht="12.75" customHeight="1">
      <c r="A45" s="48" t="s">
        <v>88</v>
      </c>
      <c r="B45" s="22">
        <v>2003</v>
      </c>
      <c r="C45" s="55"/>
      <c r="D45" s="10" t="s">
        <v>482</v>
      </c>
      <c r="E45" s="10"/>
      <c r="F45" s="148">
        <v>28.983</v>
      </c>
      <c r="H45" s="135">
        <f>38.574*1000/6.588</f>
        <v>5855.191256830601</v>
      </c>
      <c r="I45" s="47">
        <f>$H45/$F45</f>
        <v>202.02157322673983</v>
      </c>
    </row>
    <row r="46" spans="1:9" ht="12.75" customHeight="1">
      <c r="A46" s="48"/>
      <c r="C46" s="55"/>
      <c r="E46" s="10"/>
      <c r="F46" s="148"/>
      <c r="H46" s="135"/>
      <c r="I46" s="47"/>
    </row>
    <row r="47" spans="1:9" ht="12.75" customHeight="1">
      <c r="A47" s="48" t="s">
        <v>88</v>
      </c>
      <c r="B47" s="22">
        <v>2004</v>
      </c>
      <c r="C47" s="55" t="s">
        <v>64</v>
      </c>
      <c r="D47" s="10" t="s">
        <v>355</v>
      </c>
      <c r="E47" s="242"/>
      <c r="F47" s="352">
        <v>4.214</v>
      </c>
      <c r="H47" s="363">
        <f>34.757*1000/5.991</f>
        <v>5801.535636788516</v>
      </c>
      <c r="I47" s="365">
        <f>$H47/$F47</f>
        <v>1376.728912384555</v>
      </c>
    </row>
    <row r="48" spans="1:9" ht="12.75" customHeight="1">
      <c r="A48" s="48" t="s">
        <v>88</v>
      </c>
      <c r="B48" s="22">
        <v>2004</v>
      </c>
      <c r="C48" s="55" t="s">
        <v>14</v>
      </c>
      <c r="D48" s="10" t="s">
        <v>345</v>
      </c>
      <c r="E48" s="244"/>
      <c r="F48" s="352"/>
      <c r="H48" s="363"/>
      <c r="I48" s="365" t="e">
        <f>$H48/$F48</f>
        <v>#DIV/0!</v>
      </c>
    </row>
    <row r="49" spans="1:9" ht="3" customHeight="1">
      <c r="A49" s="48"/>
      <c r="C49" s="55"/>
      <c r="E49" s="10"/>
      <c r="F49" s="148"/>
      <c r="H49" s="135"/>
      <c r="I49" s="47"/>
    </row>
    <row r="50" spans="1:9" ht="12.75" customHeight="1">
      <c r="A50" s="48" t="s">
        <v>88</v>
      </c>
      <c r="B50" s="22">
        <v>2004</v>
      </c>
      <c r="C50" s="55" t="s">
        <v>9</v>
      </c>
      <c r="D50" s="10" t="s">
        <v>332</v>
      </c>
      <c r="E50" s="242"/>
      <c r="F50" s="352">
        <v>0.539</v>
      </c>
      <c r="G50" s="357"/>
      <c r="H50" s="363">
        <f>5.689*1000/5.991</f>
        <v>949.5910532465365</v>
      </c>
      <c r="I50" s="365">
        <f>$H50/$F50</f>
        <v>1761.7644772663014</v>
      </c>
    </row>
    <row r="51" spans="1:9" ht="12.75" customHeight="1">
      <c r="A51" s="48" t="s">
        <v>88</v>
      </c>
      <c r="B51" s="22">
        <v>2004</v>
      </c>
      <c r="C51" s="55" t="s">
        <v>479</v>
      </c>
      <c r="D51" s="10" t="s">
        <v>374</v>
      </c>
      <c r="E51" s="243"/>
      <c r="F51" s="352"/>
      <c r="G51" s="357"/>
      <c r="H51" s="363"/>
      <c r="I51" s="365"/>
    </row>
    <row r="52" spans="1:9" ht="12.75" customHeight="1">
      <c r="A52" s="48" t="s">
        <v>88</v>
      </c>
      <c r="B52" s="22">
        <v>2004</v>
      </c>
      <c r="C52" s="55" t="s">
        <v>284</v>
      </c>
      <c r="E52" s="244"/>
      <c r="F52" s="352"/>
      <c r="G52" s="357"/>
      <c r="H52" s="363"/>
      <c r="I52" s="365"/>
    </row>
    <row r="53" spans="1:9" ht="3" customHeight="1">
      <c r="A53" s="48"/>
      <c r="C53" s="55"/>
      <c r="E53" s="10"/>
      <c r="F53" s="148"/>
      <c r="G53" s="261"/>
      <c r="H53" s="135"/>
      <c r="I53" s="47"/>
    </row>
    <row r="54" spans="1:9" ht="12.75" customHeight="1">
      <c r="A54" s="48" t="s">
        <v>88</v>
      </c>
      <c r="B54" s="22">
        <v>2004</v>
      </c>
      <c r="C54" s="55"/>
      <c r="D54" s="10" t="s">
        <v>482</v>
      </c>
      <c r="E54" s="10"/>
      <c r="F54" s="148">
        <f>258.337/10</f>
        <v>25.8337</v>
      </c>
      <c r="H54" s="135">
        <f>56.325*1000/5.991</f>
        <v>9401.602403605408</v>
      </c>
      <c r="I54" s="47">
        <f>$H54/$F54</f>
        <v>363.92783084132</v>
      </c>
    </row>
    <row r="55" spans="1:9" ht="12.75" customHeight="1">
      <c r="A55" s="48"/>
      <c r="C55" s="55"/>
      <c r="E55" s="10"/>
      <c r="F55" s="148"/>
      <c r="H55" s="135"/>
      <c r="I55" s="47"/>
    </row>
    <row r="56" spans="1:9" ht="12.75" customHeight="1">
      <c r="A56" s="48" t="s">
        <v>83</v>
      </c>
      <c r="B56" s="22">
        <v>2004</v>
      </c>
      <c r="C56" s="251" t="s">
        <v>533</v>
      </c>
      <c r="D56" s="8" t="s">
        <v>42</v>
      </c>
      <c r="E56" s="8"/>
      <c r="F56" s="19">
        <v>1</v>
      </c>
      <c r="H56" s="125">
        <v>2234</v>
      </c>
      <c r="I56" s="47">
        <f>$H56/$F56</f>
        <v>2234</v>
      </c>
    </row>
    <row r="57" spans="1:9" ht="12.75" customHeight="1">
      <c r="A57" s="48"/>
      <c r="C57" s="22"/>
      <c r="D57" s="8"/>
      <c r="E57" s="8"/>
      <c r="F57" s="19"/>
      <c r="H57" s="125"/>
      <c r="I57" s="69"/>
    </row>
    <row r="58" spans="1:12" ht="12.75" customHeight="1">
      <c r="A58" s="48" t="s">
        <v>87</v>
      </c>
      <c r="B58" s="22">
        <v>2003</v>
      </c>
      <c r="C58" s="55" t="s">
        <v>720</v>
      </c>
      <c r="D58" s="75" t="s">
        <v>373</v>
      </c>
      <c r="E58" s="252"/>
      <c r="F58" s="352">
        <v>70.316568</v>
      </c>
      <c r="G58" s="83"/>
      <c r="H58" s="362">
        <f>48939/0.88603</f>
        <v>55234.02142139657</v>
      </c>
      <c r="I58" s="364">
        <f>$H58/$F58</f>
        <v>785.5050807001355</v>
      </c>
      <c r="L58" s="60"/>
    </row>
    <row r="59" spans="1:12" ht="12.75" customHeight="1">
      <c r="A59" s="48" t="s">
        <v>87</v>
      </c>
      <c r="B59" s="22">
        <v>2003</v>
      </c>
      <c r="C59" s="55" t="s">
        <v>479</v>
      </c>
      <c r="D59" s="75" t="s">
        <v>374</v>
      </c>
      <c r="E59" s="253"/>
      <c r="F59" s="352"/>
      <c r="G59" s="83"/>
      <c r="H59" s="363">
        <v>1160.699</v>
      </c>
      <c r="I59" s="365" t="e">
        <f>$H59/$F59</f>
        <v>#DIV/0!</v>
      </c>
      <c r="L59" s="60"/>
    </row>
    <row r="60" spans="1:12" ht="12.75" customHeight="1">
      <c r="A60" s="48" t="s">
        <v>87</v>
      </c>
      <c r="B60" s="22">
        <v>2003</v>
      </c>
      <c r="C60" s="55" t="s">
        <v>15</v>
      </c>
      <c r="D60" s="75" t="s">
        <v>312</v>
      </c>
      <c r="E60" s="253"/>
      <c r="F60" s="352"/>
      <c r="G60" s="83"/>
      <c r="H60" s="363">
        <v>1160.699</v>
      </c>
      <c r="I60" s="365" t="e">
        <f>$H60/$F60</f>
        <v>#DIV/0!</v>
      </c>
      <c r="L60" s="60"/>
    </row>
    <row r="61" spans="1:12" ht="12.75" customHeight="1">
      <c r="A61" s="48" t="s">
        <v>87</v>
      </c>
      <c r="B61" s="22">
        <v>2003</v>
      </c>
      <c r="C61" s="55" t="s">
        <v>467</v>
      </c>
      <c r="D61" s="75" t="s">
        <v>319</v>
      </c>
      <c r="E61" s="253"/>
      <c r="F61" s="352"/>
      <c r="G61" s="83"/>
      <c r="H61" s="363">
        <v>1160.699</v>
      </c>
      <c r="I61" s="365" t="e">
        <f>$H61/$F61</f>
        <v>#DIV/0!</v>
      </c>
      <c r="L61" s="60"/>
    </row>
    <row r="62" spans="1:12" s="24" customFormat="1" ht="12.75" customHeight="1">
      <c r="A62" s="48" t="s">
        <v>87</v>
      </c>
      <c r="B62" s="22">
        <v>2003</v>
      </c>
      <c r="C62" s="55" t="s">
        <v>467</v>
      </c>
      <c r="D62" s="75" t="s">
        <v>356</v>
      </c>
      <c r="E62" s="254"/>
      <c r="F62" s="352"/>
      <c r="G62" s="83"/>
      <c r="H62" s="363">
        <v>1160.699</v>
      </c>
      <c r="I62" s="365" t="e">
        <f>$H62/$F62</f>
        <v>#DIV/0!</v>
      </c>
      <c r="L62" s="83"/>
    </row>
    <row r="63" spans="1:12" ht="3" customHeight="1">
      <c r="A63" s="48"/>
      <c r="C63" s="22"/>
      <c r="D63" s="8"/>
      <c r="E63" s="8"/>
      <c r="F63" s="19"/>
      <c r="H63" s="126"/>
      <c r="I63" s="21"/>
      <c r="L63" s="79"/>
    </row>
    <row r="64" spans="1:12" ht="12.75" customHeight="1">
      <c r="A64" s="48" t="s">
        <v>87</v>
      </c>
      <c r="B64" s="22">
        <v>2003</v>
      </c>
      <c r="C64" s="55" t="s">
        <v>14</v>
      </c>
      <c r="D64" s="10" t="s">
        <v>345</v>
      </c>
      <c r="E64" s="252"/>
      <c r="F64" s="345">
        <v>0.174363</v>
      </c>
      <c r="G64" s="100"/>
      <c r="H64" s="354">
        <f>400/0.88603</f>
        <v>451.4519824385179</v>
      </c>
      <c r="I64" s="349">
        <f>$H64/$F64</f>
        <v>2589.1501203725443</v>
      </c>
      <c r="L64" s="60"/>
    </row>
    <row r="65" spans="1:12" ht="12.75" customHeight="1">
      <c r="A65" s="48" t="s">
        <v>87</v>
      </c>
      <c r="B65" s="22">
        <v>2003</v>
      </c>
      <c r="C65" s="55" t="s">
        <v>467</v>
      </c>
      <c r="D65" s="10" t="s">
        <v>315</v>
      </c>
      <c r="E65" s="253"/>
      <c r="F65" s="345"/>
      <c r="G65" s="100" t="s">
        <v>10</v>
      </c>
      <c r="H65" s="355">
        <v>1160.699</v>
      </c>
      <c r="I65" s="350" t="e">
        <f>$H65/$F65</f>
        <v>#DIV/0!</v>
      </c>
      <c r="L65" s="60"/>
    </row>
    <row r="66" spans="1:12" ht="12.75" customHeight="1">
      <c r="A66" s="48" t="s">
        <v>87</v>
      </c>
      <c r="B66" s="22">
        <v>2003</v>
      </c>
      <c r="C66" s="55" t="s">
        <v>467</v>
      </c>
      <c r="D66" s="10" t="s">
        <v>354</v>
      </c>
      <c r="E66" s="254"/>
      <c r="F66" s="345"/>
      <c r="G66" s="100"/>
      <c r="H66" s="355">
        <v>1160.699</v>
      </c>
      <c r="I66" s="350" t="e">
        <f>$H66/$F66</f>
        <v>#DIV/0!</v>
      </c>
      <c r="L66" s="60"/>
    </row>
    <row r="67" spans="1:12" ht="3" customHeight="1">
      <c r="A67" s="48"/>
      <c r="C67" s="55"/>
      <c r="E67" s="75"/>
      <c r="F67" s="82"/>
      <c r="G67" s="100"/>
      <c r="H67" s="258"/>
      <c r="I67" s="259"/>
      <c r="L67" s="60"/>
    </row>
    <row r="68" spans="1:12" s="24" customFormat="1" ht="12.75" customHeight="1">
      <c r="A68" s="48" t="s">
        <v>87</v>
      </c>
      <c r="B68" s="22">
        <v>2003</v>
      </c>
      <c r="C68" s="22"/>
      <c r="D68" s="25" t="s">
        <v>482</v>
      </c>
      <c r="E68" s="25"/>
      <c r="F68" s="19">
        <v>6.397965</v>
      </c>
      <c r="G68" s="83"/>
      <c r="H68" s="126">
        <f>9320/0.88603</f>
        <v>10518.831190817467</v>
      </c>
      <c r="I68" s="21">
        <f>$H68/$F68</f>
        <v>1644.0901428528396</v>
      </c>
      <c r="L68" s="83"/>
    </row>
    <row r="69" spans="1:9" s="24" customFormat="1" ht="3" customHeight="1">
      <c r="A69" s="48"/>
      <c r="B69" s="22"/>
      <c r="D69" s="8"/>
      <c r="F69" s="26"/>
      <c r="G69" s="87"/>
      <c r="H69" s="128"/>
      <c r="I69" s="47"/>
    </row>
    <row r="70" spans="1:12" ht="12.75" customHeight="1">
      <c r="A70" s="48" t="s">
        <v>87</v>
      </c>
      <c r="B70" s="22">
        <v>2004</v>
      </c>
      <c r="C70" s="55" t="s">
        <v>720</v>
      </c>
      <c r="D70" s="75" t="s">
        <v>373</v>
      </c>
      <c r="E70" s="252"/>
      <c r="F70" s="352">
        <v>85.520064</v>
      </c>
      <c r="G70" s="83"/>
      <c r="H70" s="362">
        <f>55472/0.80537</f>
        <v>68877.65871586972</v>
      </c>
      <c r="I70" s="364">
        <f>$H70/$F70</f>
        <v>805.3976516653415</v>
      </c>
      <c r="L70" s="60"/>
    </row>
    <row r="71" spans="1:12" ht="12.75" customHeight="1">
      <c r="A71" s="48" t="s">
        <v>87</v>
      </c>
      <c r="B71" s="22">
        <v>2004</v>
      </c>
      <c r="C71" s="55" t="s">
        <v>479</v>
      </c>
      <c r="D71" s="75" t="s">
        <v>374</v>
      </c>
      <c r="E71" s="253"/>
      <c r="F71" s="352"/>
      <c r="G71" s="83"/>
      <c r="H71" s="363">
        <v>1160.699</v>
      </c>
      <c r="I71" s="365" t="e">
        <f>$H71/$F71</f>
        <v>#DIV/0!</v>
      </c>
      <c r="L71" s="60"/>
    </row>
    <row r="72" spans="1:12" ht="12.75" customHeight="1">
      <c r="A72" s="48" t="s">
        <v>87</v>
      </c>
      <c r="B72" s="22">
        <v>2004</v>
      </c>
      <c r="C72" s="55" t="s">
        <v>15</v>
      </c>
      <c r="D72" s="75" t="s">
        <v>312</v>
      </c>
      <c r="E72" s="253"/>
      <c r="F72" s="352"/>
      <c r="G72" s="83"/>
      <c r="H72" s="363">
        <v>1160.699</v>
      </c>
      <c r="I72" s="365" t="e">
        <f>$H72/$F72</f>
        <v>#DIV/0!</v>
      </c>
      <c r="L72" s="60"/>
    </row>
    <row r="73" spans="1:12" ht="12.75" customHeight="1">
      <c r="A73" s="48" t="s">
        <v>87</v>
      </c>
      <c r="B73" s="22">
        <v>2004</v>
      </c>
      <c r="C73" s="55" t="s">
        <v>467</v>
      </c>
      <c r="D73" s="75" t="s">
        <v>319</v>
      </c>
      <c r="E73" s="253"/>
      <c r="F73" s="352"/>
      <c r="G73" s="83"/>
      <c r="H73" s="363">
        <v>1160.699</v>
      </c>
      <c r="I73" s="365" t="e">
        <f>$H73/$F73</f>
        <v>#DIV/0!</v>
      </c>
      <c r="L73" s="60"/>
    </row>
    <row r="74" spans="1:12" s="24" customFormat="1" ht="12.75" customHeight="1">
      <c r="A74" s="48" t="s">
        <v>87</v>
      </c>
      <c r="B74" s="22">
        <v>2004</v>
      </c>
      <c r="C74" s="55" t="s">
        <v>467</v>
      </c>
      <c r="D74" s="75" t="s">
        <v>356</v>
      </c>
      <c r="E74" s="254"/>
      <c r="F74" s="352"/>
      <c r="G74" s="83"/>
      <c r="H74" s="363">
        <v>1160.699</v>
      </c>
      <c r="I74" s="365" t="e">
        <f>$H74/$F74</f>
        <v>#DIV/0!</v>
      </c>
      <c r="L74" s="83"/>
    </row>
    <row r="75" spans="5:12" ht="3" customHeight="1">
      <c r="E75" s="10"/>
      <c r="F75" s="42"/>
      <c r="H75" s="123"/>
      <c r="L75" s="60"/>
    </row>
    <row r="76" spans="1:12" ht="12.75" customHeight="1">
      <c r="A76" s="48" t="s">
        <v>87</v>
      </c>
      <c r="B76" s="22">
        <v>2004</v>
      </c>
      <c r="C76" s="55" t="s">
        <v>14</v>
      </c>
      <c r="D76" s="10" t="s">
        <v>345</v>
      </c>
      <c r="E76" s="252"/>
      <c r="F76" s="345">
        <v>0.664867</v>
      </c>
      <c r="G76" s="100"/>
      <c r="H76" s="354">
        <f>1372/0.80537</f>
        <v>1703.5648211381103</v>
      </c>
      <c r="I76" s="349">
        <f>$H76/$F76</f>
        <v>2562.26406354671</v>
      </c>
      <c r="L76" s="60"/>
    </row>
    <row r="77" spans="1:12" ht="12.75" customHeight="1">
      <c r="A77" s="48" t="s">
        <v>87</v>
      </c>
      <c r="B77" s="22">
        <v>2004</v>
      </c>
      <c r="C77" s="55" t="s">
        <v>467</v>
      </c>
      <c r="D77" s="10" t="s">
        <v>315</v>
      </c>
      <c r="E77" s="253"/>
      <c r="F77" s="345"/>
      <c r="G77" s="100"/>
      <c r="H77" s="355">
        <v>1160.699</v>
      </c>
      <c r="I77" s="350" t="e">
        <f>$H77/$F77</f>
        <v>#DIV/0!</v>
      </c>
      <c r="L77" s="60"/>
    </row>
    <row r="78" spans="1:12" ht="12.75" customHeight="1">
      <c r="A78" s="48" t="s">
        <v>87</v>
      </c>
      <c r="B78" s="22">
        <v>2004</v>
      </c>
      <c r="C78" s="55" t="s">
        <v>467</v>
      </c>
      <c r="D78" s="10" t="s">
        <v>354</v>
      </c>
      <c r="E78" s="254"/>
      <c r="F78" s="345"/>
      <c r="G78" s="100"/>
      <c r="H78" s="355">
        <v>1160.699</v>
      </c>
      <c r="I78" s="350" t="e">
        <f>$H78/$F78</f>
        <v>#DIV/0!</v>
      </c>
      <c r="L78" s="60"/>
    </row>
    <row r="79" spans="1:12" ht="3" customHeight="1">
      <c r="A79" s="48"/>
      <c r="C79" s="55"/>
      <c r="E79" s="75"/>
      <c r="F79" s="82"/>
      <c r="G79" s="100"/>
      <c r="H79" s="258"/>
      <c r="I79" s="259"/>
      <c r="L79" s="60"/>
    </row>
    <row r="80" spans="1:12" s="24" customFormat="1" ht="12.75" customHeight="1">
      <c r="A80" s="48" t="s">
        <v>87</v>
      </c>
      <c r="B80" s="22">
        <v>2004</v>
      </c>
      <c r="C80" s="22"/>
      <c r="D80" s="25" t="s">
        <v>482</v>
      </c>
      <c r="E80" s="25"/>
      <c r="F80" s="19">
        <v>7.240254</v>
      </c>
      <c r="G80" s="83"/>
      <c r="H80" s="126">
        <f>10288/0.80537</f>
        <v>12774.25282789277</v>
      </c>
      <c r="I80" s="21">
        <f>$H80/$F80</f>
        <v>1764.3376638295797</v>
      </c>
      <c r="L80" s="83"/>
    </row>
    <row r="81" spans="1:9" s="24" customFormat="1" ht="12.75" customHeight="1">
      <c r="A81" s="71"/>
      <c r="B81" s="22"/>
      <c r="F81" s="26"/>
      <c r="G81" s="87"/>
      <c r="H81" s="128"/>
      <c r="I81" s="26"/>
    </row>
    <row r="82" spans="1:9" s="24" customFormat="1" ht="12.75" customHeight="1">
      <c r="A82" s="48" t="s">
        <v>78</v>
      </c>
      <c r="B82" s="22">
        <v>2003</v>
      </c>
      <c r="C82" s="25"/>
      <c r="D82" s="25" t="s">
        <v>482</v>
      </c>
      <c r="E82" s="25"/>
      <c r="F82" s="21">
        <v>14.9</v>
      </c>
      <c r="G82" s="83"/>
      <c r="H82" s="126">
        <f>6721/0.88603</f>
        <v>7585.521934923197</v>
      </c>
      <c r="I82" s="47">
        <f>$H82/$F82</f>
        <v>509.09543187404</v>
      </c>
    </row>
    <row r="83" spans="1:9" s="24" customFormat="1" ht="12.75" customHeight="1">
      <c r="A83" s="71"/>
      <c r="B83" s="22"/>
      <c r="G83" s="87"/>
      <c r="H83" s="126"/>
      <c r="I83" s="26"/>
    </row>
    <row r="84" spans="1:9" s="24" customFormat="1" ht="12.75" customHeight="1">
      <c r="A84" s="48" t="s">
        <v>78</v>
      </c>
      <c r="B84" s="22">
        <v>2004</v>
      </c>
      <c r="C84" s="25"/>
      <c r="D84" s="25" t="s">
        <v>482</v>
      </c>
      <c r="E84" s="25"/>
      <c r="F84" s="21">
        <v>9.5</v>
      </c>
      <c r="G84" s="83"/>
      <c r="H84" s="126">
        <f>7399/0.80537</f>
        <v>9187.08171399481</v>
      </c>
      <c r="I84" s="47">
        <f>$H84/$F84</f>
        <v>967.0612330520853</v>
      </c>
    </row>
    <row r="85" spans="1:9" s="24" customFormat="1" ht="12.75" customHeight="1">
      <c r="A85" s="48"/>
      <c r="B85" s="22"/>
      <c r="C85" s="25"/>
      <c r="D85" s="25"/>
      <c r="E85" s="25"/>
      <c r="F85" s="25"/>
      <c r="G85" s="83"/>
      <c r="H85" s="143"/>
      <c r="I85" s="25"/>
    </row>
    <row r="86" spans="1:9" s="24" customFormat="1" ht="12.75" customHeight="1">
      <c r="A86" s="48" t="s">
        <v>251</v>
      </c>
      <c r="B86" s="22">
        <v>2003</v>
      </c>
      <c r="C86" s="55" t="s">
        <v>282</v>
      </c>
      <c r="D86" s="10" t="s">
        <v>365</v>
      </c>
      <c r="E86" s="252"/>
      <c r="F86" s="366">
        <v>11</v>
      </c>
      <c r="G86" s="93"/>
      <c r="H86" s="363">
        <f>7576/0.88603</f>
        <v>8550.500547385529</v>
      </c>
      <c r="I86" s="365">
        <f>$H86/$F86</f>
        <v>777.3182315805026</v>
      </c>
    </row>
    <row r="87" spans="1:9" s="24" customFormat="1" ht="12.75" customHeight="1">
      <c r="A87" s="48" t="s">
        <v>251</v>
      </c>
      <c r="B87" s="22">
        <v>2003</v>
      </c>
      <c r="C87" s="55" t="s">
        <v>280</v>
      </c>
      <c r="D87" s="10" t="s">
        <v>378</v>
      </c>
      <c r="E87" s="253"/>
      <c r="F87" s="366"/>
      <c r="G87" s="93"/>
      <c r="H87" s="363"/>
      <c r="I87" s="365"/>
    </row>
    <row r="88" spans="1:9" s="24" customFormat="1" ht="12.75" customHeight="1">
      <c r="A88" s="48" t="s">
        <v>251</v>
      </c>
      <c r="B88" s="22">
        <v>2003</v>
      </c>
      <c r="C88" s="55" t="s">
        <v>281</v>
      </c>
      <c r="D88" s="10" t="s">
        <v>379</v>
      </c>
      <c r="E88" s="253"/>
      <c r="F88" s="366"/>
      <c r="G88" s="93"/>
      <c r="H88" s="363"/>
      <c r="I88" s="365"/>
    </row>
    <row r="89" spans="1:9" s="24" customFormat="1" ht="12.75" customHeight="1">
      <c r="A89" s="48" t="s">
        <v>251</v>
      </c>
      <c r="B89" s="22">
        <v>2003</v>
      </c>
      <c r="C89" s="55" t="s">
        <v>720</v>
      </c>
      <c r="D89" s="75" t="s">
        <v>373</v>
      </c>
      <c r="E89" s="253"/>
      <c r="F89" s="366"/>
      <c r="G89" s="93"/>
      <c r="H89" s="363"/>
      <c r="I89" s="365"/>
    </row>
    <row r="90" spans="1:9" s="24" customFormat="1" ht="12.75" customHeight="1">
      <c r="A90" s="48" t="s">
        <v>251</v>
      </c>
      <c r="B90" s="22">
        <v>2003</v>
      </c>
      <c r="C90" s="55" t="s">
        <v>479</v>
      </c>
      <c r="D90" s="75" t="s">
        <v>374</v>
      </c>
      <c r="E90" s="253"/>
      <c r="F90" s="366"/>
      <c r="G90" s="93"/>
      <c r="H90" s="363"/>
      <c r="I90" s="365"/>
    </row>
    <row r="91" spans="1:9" s="24" customFormat="1" ht="12.75" customHeight="1">
      <c r="A91" s="48" t="s">
        <v>251</v>
      </c>
      <c r="B91" s="22">
        <v>2003</v>
      </c>
      <c r="C91" s="55" t="s">
        <v>15</v>
      </c>
      <c r="D91" s="75" t="s">
        <v>312</v>
      </c>
      <c r="E91" s="243"/>
      <c r="F91" s="366"/>
      <c r="G91" s="93"/>
      <c r="H91" s="363"/>
      <c r="I91" s="365"/>
    </row>
    <row r="92" spans="1:9" s="24" customFormat="1" ht="12.75" customHeight="1">
      <c r="A92" s="48" t="s">
        <v>251</v>
      </c>
      <c r="B92" s="22">
        <v>2003</v>
      </c>
      <c r="C92" s="55" t="s">
        <v>467</v>
      </c>
      <c r="D92" s="75" t="s">
        <v>319</v>
      </c>
      <c r="E92" s="243"/>
      <c r="F92" s="366"/>
      <c r="G92" s="93"/>
      <c r="H92" s="363"/>
      <c r="I92" s="365"/>
    </row>
    <row r="93" spans="1:9" s="24" customFormat="1" ht="12.75" customHeight="1">
      <c r="A93" s="48" t="s">
        <v>251</v>
      </c>
      <c r="B93" s="22">
        <v>2003</v>
      </c>
      <c r="C93" s="55" t="s">
        <v>467</v>
      </c>
      <c r="D93" s="75" t="s">
        <v>356</v>
      </c>
      <c r="E93" s="244"/>
      <c r="F93" s="366"/>
      <c r="G93" s="93"/>
      <c r="H93" s="363"/>
      <c r="I93" s="365"/>
    </row>
    <row r="94" spans="1:9" s="24" customFormat="1" ht="3" customHeight="1">
      <c r="A94" s="48"/>
      <c r="B94" s="22"/>
      <c r="C94" s="55"/>
      <c r="D94" s="10"/>
      <c r="E94" s="75"/>
      <c r="F94" s="77"/>
      <c r="G94" s="100"/>
      <c r="H94" s="258"/>
      <c r="I94" s="259"/>
    </row>
    <row r="95" spans="1:9" s="24" customFormat="1" ht="12.75" customHeight="1">
      <c r="A95" s="48" t="s">
        <v>251</v>
      </c>
      <c r="B95" s="22">
        <v>2003</v>
      </c>
      <c r="C95" s="55" t="s">
        <v>14</v>
      </c>
      <c r="D95" s="10" t="s">
        <v>345</v>
      </c>
      <c r="E95" s="252"/>
      <c r="F95" s="353">
        <v>0</v>
      </c>
      <c r="G95" s="100"/>
      <c r="H95" s="354" t="s">
        <v>71</v>
      </c>
      <c r="I95" s="349" t="s">
        <v>71</v>
      </c>
    </row>
    <row r="96" spans="1:9" s="24" customFormat="1" ht="12.75" customHeight="1">
      <c r="A96" s="48" t="s">
        <v>251</v>
      </c>
      <c r="B96" s="22">
        <v>2003</v>
      </c>
      <c r="C96" s="55" t="s">
        <v>467</v>
      </c>
      <c r="D96" s="10" t="s">
        <v>315</v>
      </c>
      <c r="E96" s="253"/>
      <c r="F96" s="353"/>
      <c r="G96" s="100" t="s">
        <v>10</v>
      </c>
      <c r="H96" s="355">
        <f>211.761</f>
        <v>211.761</v>
      </c>
      <c r="I96" s="350" t="e">
        <f>$H96/$F96</f>
        <v>#DIV/0!</v>
      </c>
    </row>
    <row r="97" spans="1:9" s="24" customFormat="1" ht="12.75" customHeight="1">
      <c r="A97" s="48" t="s">
        <v>251</v>
      </c>
      <c r="B97" s="22">
        <v>2003</v>
      </c>
      <c r="C97" s="55" t="s">
        <v>467</v>
      </c>
      <c r="D97" s="10" t="s">
        <v>354</v>
      </c>
      <c r="E97" s="254"/>
      <c r="F97" s="353"/>
      <c r="G97" s="100"/>
      <c r="H97" s="355">
        <f>211.761</f>
        <v>211.761</v>
      </c>
      <c r="I97" s="350" t="e">
        <f>$H97/$F97</f>
        <v>#DIV/0!</v>
      </c>
    </row>
    <row r="98" spans="1:9" s="24" customFormat="1" ht="3" customHeight="1">
      <c r="A98" s="48"/>
      <c r="B98" s="22"/>
      <c r="C98" s="55"/>
      <c r="D98" s="10"/>
      <c r="E98" s="75"/>
      <c r="F98" s="77"/>
      <c r="G98" s="100"/>
      <c r="H98" s="258"/>
      <c r="I98" s="259"/>
    </row>
    <row r="99" spans="1:9" s="24" customFormat="1" ht="12.75" customHeight="1">
      <c r="A99" s="48" t="s">
        <v>251</v>
      </c>
      <c r="B99" s="22">
        <v>2003</v>
      </c>
      <c r="C99" s="286"/>
      <c r="D99" s="25" t="s">
        <v>482</v>
      </c>
      <c r="E99" s="25"/>
      <c r="F99" s="25">
        <v>6</v>
      </c>
      <c r="G99" s="83"/>
      <c r="H99" s="126">
        <f>2185/0.88603</f>
        <v>2466.056454070404</v>
      </c>
      <c r="I99" s="47">
        <f>$H99/$F99</f>
        <v>411.009409011734</v>
      </c>
    </row>
    <row r="100" spans="1:9" s="24" customFormat="1" ht="12.75" customHeight="1">
      <c r="A100" s="48"/>
      <c r="B100" s="22"/>
      <c r="D100" s="25"/>
      <c r="E100" s="25"/>
      <c r="F100" s="25"/>
      <c r="G100" s="83"/>
      <c r="H100" s="143"/>
      <c r="I100" s="25"/>
    </row>
    <row r="101" spans="1:9" s="24" customFormat="1" ht="12.75" customHeight="1">
      <c r="A101" s="48" t="s">
        <v>251</v>
      </c>
      <c r="B101" s="22">
        <v>2004</v>
      </c>
      <c r="C101" s="55" t="s">
        <v>282</v>
      </c>
      <c r="D101" s="10" t="s">
        <v>365</v>
      </c>
      <c r="E101" s="252"/>
      <c r="F101" s="366">
        <v>13</v>
      </c>
      <c r="G101" s="93"/>
      <c r="H101" s="363">
        <f>7775/0.80537</f>
        <v>9653.947874889802</v>
      </c>
      <c r="I101" s="365">
        <f>$H101/$F101</f>
        <v>742.6113749915232</v>
      </c>
    </row>
    <row r="102" spans="1:9" s="24" customFormat="1" ht="12.75" customHeight="1">
      <c r="A102" s="48" t="s">
        <v>251</v>
      </c>
      <c r="B102" s="22">
        <v>2004</v>
      </c>
      <c r="C102" s="55" t="s">
        <v>280</v>
      </c>
      <c r="D102" s="10" t="s">
        <v>378</v>
      </c>
      <c r="E102" s="253"/>
      <c r="F102" s="366"/>
      <c r="G102" s="93"/>
      <c r="H102" s="363"/>
      <c r="I102" s="365"/>
    </row>
    <row r="103" spans="1:9" s="24" customFormat="1" ht="12.75" customHeight="1">
      <c r="A103" s="48" t="s">
        <v>251</v>
      </c>
      <c r="B103" s="22">
        <v>2004</v>
      </c>
      <c r="C103" s="55" t="s">
        <v>281</v>
      </c>
      <c r="D103" s="10" t="s">
        <v>379</v>
      </c>
      <c r="E103" s="253"/>
      <c r="F103" s="366"/>
      <c r="G103" s="93"/>
      <c r="H103" s="363"/>
      <c r="I103" s="365"/>
    </row>
    <row r="104" spans="1:9" s="24" customFormat="1" ht="12.75" customHeight="1">
      <c r="A104" s="48" t="s">
        <v>251</v>
      </c>
      <c r="B104" s="22">
        <v>2004</v>
      </c>
      <c r="C104" s="55" t="s">
        <v>720</v>
      </c>
      <c r="D104" s="75" t="s">
        <v>373</v>
      </c>
      <c r="E104" s="253"/>
      <c r="F104" s="366"/>
      <c r="G104" s="93"/>
      <c r="H104" s="363"/>
      <c r="I104" s="365"/>
    </row>
    <row r="105" spans="1:9" s="24" customFormat="1" ht="12.75" customHeight="1">
      <c r="A105" s="48" t="s">
        <v>251</v>
      </c>
      <c r="B105" s="22">
        <v>2004</v>
      </c>
      <c r="C105" s="55" t="s">
        <v>479</v>
      </c>
      <c r="D105" s="75" t="s">
        <v>374</v>
      </c>
      <c r="E105" s="253"/>
      <c r="F105" s="366"/>
      <c r="G105" s="93"/>
      <c r="H105" s="363"/>
      <c r="I105" s="365"/>
    </row>
    <row r="106" spans="1:9" s="24" customFormat="1" ht="12.75" customHeight="1">
      <c r="A106" s="48" t="s">
        <v>251</v>
      </c>
      <c r="B106" s="22">
        <v>2004</v>
      </c>
      <c r="C106" s="55" t="s">
        <v>15</v>
      </c>
      <c r="D106" s="75" t="s">
        <v>312</v>
      </c>
      <c r="E106" s="243"/>
      <c r="F106" s="366"/>
      <c r="G106" s="93"/>
      <c r="H106" s="363"/>
      <c r="I106" s="365"/>
    </row>
    <row r="107" spans="1:9" s="24" customFormat="1" ht="12.75" customHeight="1">
      <c r="A107" s="48" t="s">
        <v>251</v>
      </c>
      <c r="B107" s="22">
        <v>2004</v>
      </c>
      <c r="C107" s="55" t="s">
        <v>467</v>
      </c>
      <c r="D107" s="75" t="s">
        <v>319</v>
      </c>
      <c r="E107" s="243"/>
      <c r="F107" s="366"/>
      <c r="G107" s="93"/>
      <c r="H107" s="363"/>
      <c r="I107" s="365"/>
    </row>
    <row r="108" spans="1:9" s="24" customFormat="1" ht="12.75" customHeight="1">
      <c r="A108" s="48" t="s">
        <v>251</v>
      </c>
      <c r="B108" s="22">
        <v>2004</v>
      </c>
      <c r="C108" s="55" t="s">
        <v>467</v>
      </c>
      <c r="D108" s="75" t="s">
        <v>356</v>
      </c>
      <c r="E108" s="244"/>
      <c r="F108" s="366"/>
      <c r="G108" s="93"/>
      <c r="H108" s="363"/>
      <c r="I108" s="365"/>
    </row>
    <row r="109" spans="1:9" s="24" customFormat="1" ht="3" customHeight="1">
      <c r="A109" s="48"/>
      <c r="B109" s="22"/>
      <c r="C109" s="55"/>
      <c r="D109" s="10"/>
      <c r="E109" s="75"/>
      <c r="F109" s="77"/>
      <c r="G109" s="100"/>
      <c r="H109" s="258"/>
      <c r="I109" s="259"/>
    </row>
    <row r="110" spans="1:9" s="24" customFormat="1" ht="12.75" customHeight="1">
      <c r="A110" s="48" t="s">
        <v>251</v>
      </c>
      <c r="B110" s="22">
        <v>2004</v>
      </c>
      <c r="C110" s="55" t="s">
        <v>14</v>
      </c>
      <c r="D110" s="10" t="s">
        <v>345</v>
      </c>
      <c r="E110" s="252"/>
      <c r="F110" s="353">
        <v>0</v>
      </c>
      <c r="G110" s="100"/>
      <c r="H110" s="354" t="s">
        <v>71</v>
      </c>
      <c r="I110" s="349" t="s">
        <v>71</v>
      </c>
    </row>
    <row r="111" spans="1:9" s="24" customFormat="1" ht="12.75" customHeight="1">
      <c r="A111" s="48" t="s">
        <v>251</v>
      </c>
      <c r="B111" s="22">
        <v>2004</v>
      </c>
      <c r="C111" s="55" t="s">
        <v>467</v>
      </c>
      <c r="D111" s="10" t="s">
        <v>315</v>
      </c>
      <c r="E111" s="253"/>
      <c r="F111" s="353"/>
      <c r="G111" s="100" t="s">
        <v>10</v>
      </c>
      <c r="H111" s="355">
        <f>211.761</f>
        <v>211.761</v>
      </c>
      <c r="I111" s="350" t="e">
        <f>$H111/$F111</f>
        <v>#DIV/0!</v>
      </c>
    </row>
    <row r="112" spans="1:9" s="24" customFormat="1" ht="12.75" customHeight="1">
      <c r="A112" s="48" t="s">
        <v>251</v>
      </c>
      <c r="B112" s="22">
        <v>2004</v>
      </c>
      <c r="C112" s="55" t="s">
        <v>467</v>
      </c>
      <c r="D112" s="10" t="s">
        <v>354</v>
      </c>
      <c r="E112" s="254"/>
      <c r="F112" s="353"/>
      <c r="G112" s="100"/>
      <c r="H112" s="355">
        <f>211.761</f>
        <v>211.761</v>
      </c>
      <c r="I112" s="350" t="e">
        <f>$H112/$F112</f>
        <v>#DIV/0!</v>
      </c>
    </row>
    <row r="113" spans="1:9" s="24" customFormat="1" ht="12.75" customHeight="1">
      <c r="A113" s="48" t="s">
        <v>251</v>
      </c>
      <c r="B113" s="22">
        <v>2004</v>
      </c>
      <c r="C113" s="286"/>
      <c r="D113" s="25" t="s">
        <v>482</v>
      </c>
      <c r="E113" s="25"/>
      <c r="F113" s="25">
        <v>6</v>
      </c>
      <c r="G113" s="83"/>
      <c r="H113" s="126">
        <f>2538/0.80537</f>
        <v>3151.3465860411984</v>
      </c>
      <c r="I113" s="47">
        <f>$H113/$F113</f>
        <v>525.2244310068664</v>
      </c>
    </row>
    <row r="114" spans="1:9" s="24" customFormat="1" ht="12.75" customHeight="1">
      <c r="A114" s="48"/>
      <c r="B114" s="22"/>
      <c r="C114" s="286"/>
      <c r="D114" s="25"/>
      <c r="E114" s="25"/>
      <c r="F114" s="25"/>
      <c r="G114" s="83"/>
      <c r="H114" s="126"/>
      <c r="I114" s="47"/>
    </row>
    <row r="115" spans="1:9" s="24" customFormat="1" ht="12.75" customHeight="1">
      <c r="A115" s="25" t="s">
        <v>13</v>
      </c>
      <c r="B115" s="22">
        <v>2003</v>
      </c>
      <c r="C115" s="55" t="s">
        <v>14</v>
      </c>
      <c r="D115" s="75" t="s">
        <v>345</v>
      </c>
      <c r="E115" s="252"/>
      <c r="F115" s="353">
        <v>7</v>
      </c>
      <c r="G115" s="83"/>
      <c r="H115" s="348">
        <v>5301</v>
      </c>
      <c r="I115" s="344">
        <f>$H115/$F115</f>
        <v>757.2857142857143</v>
      </c>
    </row>
    <row r="116" spans="1:9" s="24" customFormat="1" ht="12.75" customHeight="1">
      <c r="A116" s="25" t="s">
        <v>13</v>
      </c>
      <c r="B116" s="22">
        <v>2003</v>
      </c>
      <c r="C116" s="55" t="s">
        <v>467</v>
      </c>
      <c r="D116" s="75" t="s">
        <v>315</v>
      </c>
      <c r="E116" s="253"/>
      <c r="F116" s="353"/>
      <c r="G116" s="83"/>
      <c r="H116" s="348"/>
      <c r="I116" s="344" t="e">
        <f>$H116/$F116</f>
        <v>#DIV/0!</v>
      </c>
    </row>
    <row r="117" spans="1:9" s="24" customFormat="1" ht="12.75" customHeight="1">
      <c r="A117" s="25" t="s">
        <v>13</v>
      </c>
      <c r="B117" s="22">
        <v>2003</v>
      </c>
      <c r="C117" s="55" t="s">
        <v>467</v>
      </c>
      <c r="D117" s="75" t="s">
        <v>354</v>
      </c>
      <c r="E117" s="254"/>
      <c r="F117" s="353"/>
      <c r="G117" s="83"/>
      <c r="H117" s="348"/>
      <c r="I117" s="344" t="e">
        <f>$H117/$F117</f>
        <v>#DIV/0!</v>
      </c>
    </row>
    <row r="118" spans="1:9" s="24" customFormat="1" ht="3" customHeight="1">
      <c r="A118" s="25"/>
      <c r="B118" s="22"/>
      <c r="C118" s="55"/>
      <c r="D118" s="75"/>
      <c r="E118" s="75"/>
      <c r="F118" s="77"/>
      <c r="G118" s="83"/>
      <c r="H118" s="124"/>
      <c r="I118" s="29"/>
    </row>
    <row r="119" spans="1:9" s="24" customFormat="1" ht="12.75" customHeight="1">
      <c r="A119" s="25" t="s">
        <v>13</v>
      </c>
      <c r="B119" s="22">
        <v>2003</v>
      </c>
      <c r="C119" s="28" t="s">
        <v>5</v>
      </c>
      <c r="D119" s="75" t="s">
        <v>362</v>
      </c>
      <c r="E119" s="75"/>
      <c r="F119" s="255">
        <v>0</v>
      </c>
      <c r="G119" s="83" t="s">
        <v>10</v>
      </c>
      <c r="H119" s="120">
        <v>92</v>
      </c>
      <c r="I119" s="19" t="s">
        <v>71</v>
      </c>
    </row>
    <row r="120" spans="1:9" s="24" customFormat="1" ht="12.75" customHeight="1">
      <c r="A120" s="25" t="s">
        <v>13</v>
      </c>
      <c r="B120" s="22">
        <v>2003</v>
      </c>
      <c r="C120" s="28" t="s">
        <v>292</v>
      </c>
      <c r="D120" s="75" t="s">
        <v>340</v>
      </c>
      <c r="E120" s="75"/>
      <c r="F120" s="255">
        <v>0</v>
      </c>
      <c r="G120" s="83" t="s">
        <v>10</v>
      </c>
      <c r="H120" s="120">
        <v>24</v>
      </c>
      <c r="I120" s="19" t="s">
        <v>71</v>
      </c>
    </row>
    <row r="121" spans="1:9" s="24" customFormat="1" ht="12.75" customHeight="1">
      <c r="A121" s="25" t="s">
        <v>13</v>
      </c>
      <c r="B121" s="22">
        <v>2003</v>
      </c>
      <c r="C121" s="25"/>
      <c r="D121" s="25" t="s">
        <v>482</v>
      </c>
      <c r="E121" s="25"/>
      <c r="F121" s="25">
        <v>33</v>
      </c>
      <c r="G121" s="83"/>
      <c r="H121" s="126">
        <v>21655</v>
      </c>
      <c r="I121" s="21">
        <f>$H121/$F121</f>
        <v>656.2121212121212</v>
      </c>
    </row>
    <row r="122" spans="1:9" s="24" customFormat="1" ht="12.75" customHeight="1">
      <c r="A122" s="25"/>
      <c r="B122" s="22"/>
      <c r="C122" s="25"/>
      <c r="D122" s="25"/>
      <c r="E122" s="25"/>
      <c r="F122" s="21"/>
      <c r="G122" s="83"/>
      <c r="H122" s="126"/>
      <c r="I122" s="21"/>
    </row>
    <row r="123" spans="1:9" s="24" customFormat="1" ht="12.75" customHeight="1">
      <c r="A123" s="25" t="s">
        <v>13</v>
      </c>
      <c r="B123" s="22">
        <v>2004</v>
      </c>
      <c r="C123" s="55" t="s">
        <v>14</v>
      </c>
      <c r="D123" s="75" t="s">
        <v>345</v>
      </c>
      <c r="E123" s="252"/>
      <c r="F123" s="353">
        <v>15</v>
      </c>
      <c r="G123" s="83"/>
      <c r="H123" s="348">
        <v>5301</v>
      </c>
      <c r="I123" s="344">
        <f>$H123/$F123</f>
        <v>353.4</v>
      </c>
    </row>
    <row r="124" spans="1:9" s="24" customFormat="1" ht="12.75" customHeight="1">
      <c r="A124" s="25" t="s">
        <v>13</v>
      </c>
      <c r="B124" s="22">
        <v>2004</v>
      </c>
      <c r="C124" s="55" t="s">
        <v>467</v>
      </c>
      <c r="D124" s="75" t="s">
        <v>315</v>
      </c>
      <c r="E124" s="253"/>
      <c r="F124" s="353"/>
      <c r="G124" s="83"/>
      <c r="H124" s="348"/>
      <c r="I124" s="344" t="e">
        <f>$H124/$F124</f>
        <v>#DIV/0!</v>
      </c>
    </row>
    <row r="125" spans="1:9" s="24" customFormat="1" ht="12.75" customHeight="1">
      <c r="A125" s="25" t="s">
        <v>13</v>
      </c>
      <c r="B125" s="22">
        <v>2004</v>
      </c>
      <c r="C125" s="55" t="s">
        <v>467</v>
      </c>
      <c r="D125" s="75" t="s">
        <v>354</v>
      </c>
      <c r="E125" s="254"/>
      <c r="F125" s="353"/>
      <c r="G125" s="83"/>
      <c r="H125" s="348"/>
      <c r="I125" s="344" t="e">
        <f>$H125/$F125</f>
        <v>#DIV/0!</v>
      </c>
    </row>
    <row r="126" spans="1:9" s="24" customFormat="1" ht="3" customHeight="1">
      <c r="A126" s="25"/>
      <c r="B126" s="22"/>
      <c r="C126" s="55"/>
      <c r="D126" s="75"/>
      <c r="E126" s="75"/>
      <c r="F126" s="77"/>
      <c r="G126" s="83"/>
      <c r="H126" s="124"/>
      <c r="I126" s="29"/>
    </row>
    <row r="127" spans="1:9" s="24" customFormat="1" ht="12.75" customHeight="1">
      <c r="A127" s="25" t="s">
        <v>13</v>
      </c>
      <c r="B127" s="22">
        <v>2004</v>
      </c>
      <c r="C127" s="28" t="s">
        <v>465</v>
      </c>
      <c r="D127" s="75" t="s">
        <v>716</v>
      </c>
      <c r="E127" s="75"/>
      <c r="F127" s="255">
        <v>0.03</v>
      </c>
      <c r="G127" s="83" t="s">
        <v>10</v>
      </c>
      <c r="H127" s="120">
        <v>109</v>
      </c>
      <c r="I127" s="21">
        <f>$H127/$F127</f>
        <v>3633.3333333333335</v>
      </c>
    </row>
    <row r="128" spans="1:9" s="24" customFormat="1" ht="12.75" customHeight="1">
      <c r="A128" s="25" t="s">
        <v>13</v>
      </c>
      <c r="B128" s="22">
        <v>2004</v>
      </c>
      <c r="C128" s="28" t="s">
        <v>5</v>
      </c>
      <c r="D128" s="75" t="s">
        <v>362</v>
      </c>
      <c r="E128" s="75"/>
      <c r="F128" s="255">
        <v>0</v>
      </c>
      <c r="G128" s="83" t="s">
        <v>10</v>
      </c>
      <c r="H128" s="120" t="s">
        <v>71</v>
      </c>
      <c r="I128" s="19" t="s">
        <v>71</v>
      </c>
    </row>
    <row r="129" spans="1:9" s="24" customFormat="1" ht="12.75" customHeight="1">
      <c r="A129" s="25" t="s">
        <v>13</v>
      </c>
      <c r="B129" s="22">
        <v>2004</v>
      </c>
      <c r="C129" s="28" t="s">
        <v>292</v>
      </c>
      <c r="D129" s="75" t="s">
        <v>340</v>
      </c>
      <c r="E129" s="75"/>
      <c r="F129" s="255">
        <v>0</v>
      </c>
      <c r="G129" s="83" t="s">
        <v>10</v>
      </c>
      <c r="H129" s="120" t="s">
        <v>71</v>
      </c>
      <c r="I129" s="19" t="s">
        <v>71</v>
      </c>
    </row>
    <row r="130" spans="1:9" s="24" customFormat="1" ht="12.75" customHeight="1">
      <c r="A130" s="25" t="s">
        <v>13</v>
      </c>
      <c r="B130" s="22">
        <v>2004</v>
      </c>
      <c r="C130" s="25"/>
      <c r="D130" s="25" t="s">
        <v>482</v>
      </c>
      <c r="E130" s="25"/>
      <c r="F130" s="25">
        <v>29</v>
      </c>
      <c r="G130" s="83"/>
      <c r="H130" s="126">
        <v>21655</v>
      </c>
      <c r="I130" s="21">
        <f>$H130/$F130</f>
        <v>746.7241379310345</v>
      </c>
    </row>
    <row r="131" spans="1:9" s="24" customFormat="1" ht="12.75" customHeight="1">
      <c r="A131" s="25"/>
      <c r="B131" s="22"/>
      <c r="C131" s="25"/>
      <c r="D131" s="25"/>
      <c r="E131" s="25"/>
      <c r="F131" s="21"/>
      <c r="G131" s="83"/>
      <c r="H131" s="126"/>
      <c r="I131" s="21"/>
    </row>
    <row r="132" spans="1:9" s="24" customFormat="1" ht="3" customHeight="1">
      <c r="A132" s="25"/>
      <c r="B132" s="22"/>
      <c r="C132" s="25"/>
      <c r="D132" s="25"/>
      <c r="E132" s="25"/>
      <c r="F132" s="25"/>
      <c r="G132" s="83"/>
      <c r="H132" s="126"/>
      <c r="I132" s="21"/>
    </row>
    <row r="133" spans="1:9" s="24" customFormat="1" ht="12.75" customHeight="1">
      <c r="A133" s="25" t="s">
        <v>256</v>
      </c>
      <c r="B133" s="22">
        <v>2003</v>
      </c>
      <c r="C133" s="25" t="s">
        <v>267</v>
      </c>
      <c r="D133" s="25" t="s">
        <v>42</v>
      </c>
      <c r="E133" s="25"/>
      <c r="F133" s="21">
        <v>0.123</v>
      </c>
      <c r="G133" s="83" t="s">
        <v>10</v>
      </c>
      <c r="H133" s="126">
        <f>38.922/0.5823</f>
        <v>66.84183410613085</v>
      </c>
      <c r="I133" s="21">
        <f aca="true" t="shared" si="2" ref="I133:I143">$H133/$F133</f>
        <v>543.4295455782996</v>
      </c>
    </row>
    <row r="134" spans="1:9" s="24" customFormat="1" ht="12.75" customHeight="1">
      <c r="A134" s="25" t="s">
        <v>256</v>
      </c>
      <c r="B134" s="22">
        <v>2003</v>
      </c>
      <c r="C134" s="25" t="s">
        <v>268</v>
      </c>
      <c r="D134" s="25"/>
      <c r="E134" s="25"/>
      <c r="F134" s="21">
        <v>0.036</v>
      </c>
      <c r="G134" s="83" t="s">
        <v>10</v>
      </c>
      <c r="H134" s="126">
        <f>47.967/0.5823</f>
        <v>82.37506439979391</v>
      </c>
      <c r="I134" s="21">
        <f t="shared" si="2"/>
        <v>2288.1962333276088</v>
      </c>
    </row>
    <row r="135" spans="1:9" s="24" customFormat="1" ht="12.75" customHeight="1">
      <c r="A135" s="25" t="s">
        <v>256</v>
      </c>
      <c r="B135" s="22">
        <v>2003</v>
      </c>
      <c r="C135" s="25" t="s">
        <v>696</v>
      </c>
      <c r="D135" s="25"/>
      <c r="E135" s="25"/>
      <c r="F135" s="21">
        <v>0.017</v>
      </c>
      <c r="G135" s="83" t="s">
        <v>10</v>
      </c>
      <c r="H135" s="126">
        <f>126.154/0.5823</f>
        <v>216.64777606044993</v>
      </c>
      <c r="I135" s="21">
        <f t="shared" si="2"/>
        <v>12743.98682708529</v>
      </c>
    </row>
    <row r="136" spans="1:9" s="24" customFormat="1" ht="12.75" customHeight="1">
      <c r="A136" s="25" t="s">
        <v>256</v>
      </c>
      <c r="B136" s="22">
        <v>2003</v>
      </c>
      <c r="C136" s="25" t="s">
        <v>269</v>
      </c>
      <c r="D136" s="25"/>
      <c r="E136" s="25"/>
      <c r="F136" s="21">
        <v>0.017</v>
      </c>
      <c r="G136" s="83" t="s">
        <v>10</v>
      </c>
      <c r="H136" s="126">
        <f>78.8/0.5823</f>
        <v>135.32543362527906</v>
      </c>
      <c r="I136" s="21">
        <f t="shared" si="2"/>
        <v>7960.319625016415</v>
      </c>
    </row>
    <row r="137" spans="1:9" s="24" customFormat="1" ht="12.75" customHeight="1">
      <c r="A137" s="25" t="s">
        <v>256</v>
      </c>
      <c r="B137" s="22">
        <v>2003</v>
      </c>
      <c r="C137" s="25" t="s">
        <v>700</v>
      </c>
      <c r="D137" s="25"/>
      <c r="E137" s="25"/>
      <c r="F137" s="21">
        <v>0.015</v>
      </c>
      <c r="G137" s="83" t="s">
        <v>10</v>
      </c>
      <c r="H137" s="126">
        <f>27.177/0.5823</f>
        <v>46.67181865018031</v>
      </c>
      <c r="I137" s="21">
        <f t="shared" si="2"/>
        <v>3111.4545766786878</v>
      </c>
    </row>
    <row r="138" spans="1:9" s="24" customFormat="1" ht="12.75" customHeight="1">
      <c r="A138" s="25" t="s">
        <v>256</v>
      </c>
      <c r="B138" s="22">
        <v>2003</v>
      </c>
      <c r="C138" s="25" t="s">
        <v>704</v>
      </c>
      <c r="D138" s="25"/>
      <c r="E138" s="25"/>
      <c r="F138" s="21">
        <v>0.013</v>
      </c>
      <c r="G138" s="83" t="s">
        <v>10</v>
      </c>
      <c r="H138" s="126">
        <f>128.155/0.5823</f>
        <v>220.0841490640563</v>
      </c>
      <c r="I138" s="21">
        <f t="shared" si="2"/>
        <v>16929.549928004333</v>
      </c>
    </row>
    <row r="139" spans="1:9" s="24" customFormat="1" ht="12.75" customHeight="1">
      <c r="A139" s="25" t="s">
        <v>256</v>
      </c>
      <c r="B139" s="22">
        <v>2003</v>
      </c>
      <c r="C139" s="25" t="s">
        <v>699</v>
      </c>
      <c r="D139" s="25"/>
      <c r="E139" s="25"/>
      <c r="F139" s="21">
        <v>0.009</v>
      </c>
      <c r="G139" s="83" t="s">
        <v>10</v>
      </c>
      <c r="H139" s="126">
        <f>38.119/0.5823</f>
        <v>65.4628198523098</v>
      </c>
      <c r="I139" s="21">
        <f t="shared" si="2"/>
        <v>7273.646650256645</v>
      </c>
    </row>
    <row r="140" spans="1:9" s="24" customFormat="1" ht="12.75" customHeight="1">
      <c r="A140" s="25" t="s">
        <v>256</v>
      </c>
      <c r="B140" s="22">
        <v>2003</v>
      </c>
      <c r="C140" s="25" t="s">
        <v>698</v>
      </c>
      <c r="D140" s="25"/>
      <c r="E140" s="25"/>
      <c r="F140" s="21">
        <v>0.007</v>
      </c>
      <c r="G140" s="83" t="s">
        <v>10</v>
      </c>
      <c r="H140" s="126">
        <f>29.993/0.5823</f>
        <v>51.50781384166237</v>
      </c>
      <c r="I140" s="21">
        <f t="shared" si="2"/>
        <v>7358.2591202374815</v>
      </c>
    </row>
    <row r="141" spans="1:9" s="24" customFormat="1" ht="12.75" customHeight="1">
      <c r="A141" s="25" t="s">
        <v>256</v>
      </c>
      <c r="B141" s="22">
        <v>2003</v>
      </c>
      <c r="C141" s="25" t="s">
        <v>701</v>
      </c>
      <c r="D141" s="25"/>
      <c r="E141" s="25"/>
      <c r="F141" s="21">
        <v>0.004</v>
      </c>
      <c r="G141" s="83" t="s">
        <v>10</v>
      </c>
      <c r="H141" s="126">
        <f>10.679/0.5823</f>
        <v>18.33934398076593</v>
      </c>
      <c r="I141" s="21">
        <f t="shared" si="2"/>
        <v>4584.835995191482</v>
      </c>
    </row>
    <row r="142" spans="1:9" s="24" customFormat="1" ht="12.75" customHeight="1">
      <c r="A142" s="25" t="s">
        <v>256</v>
      </c>
      <c r="B142" s="22">
        <v>2003</v>
      </c>
      <c r="C142" s="25" t="s">
        <v>697</v>
      </c>
      <c r="D142" s="25"/>
      <c r="E142" s="25"/>
      <c r="F142" s="21">
        <v>0.001</v>
      </c>
      <c r="G142" s="83" t="s">
        <v>10</v>
      </c>
      <c r="H142" s="126">
        <f>3.922/0.5823</f>
        <v>6.735359780182036</v>
      </c>
      <c r="I142" s="21">
        <f t="shared" si="2"/>
        <v>6735.359780182036</v>
      </c>
    </row>
    <row r="143" spans="1:9" s="24" customFormat="1" ht="12.75" customHeight="1">
      <c r="A143" s="25" t="s">
        <v>256</v>
      </c>
      <c r="B143" s="22">
        <v>2003</v>
      </c>
      <c r="C143" s="25" t="s">
        <v>706</v>
      </c>
      <c r="D143" s="25"/>
      <c r="E143" s="25"/>
      <c r="F143" s="21">
        <v>0.001</v>
      </c>
      <c r="G143" s="83" t="s">
        <v>10</v>
      </c>
      <c r="H143" s="126">
        <f>13.463/0.5823</f>
        <v>23.120384681435684</v>
      </c>
      <c r="I143" s="21">
        <f t="shared" si="2"/>
        <v>23120.384681435684</v>
      </c>
    </row>
    <row r="144" spans="1:9" s="24" customFormat="1" ht="12.75" customHeight="1">
      <c r="A144" s="25" t="s">
        <v>256</v>
      </c>
      <c r="B144" s="22">
        <v>2003</v>
      </c>
      <c r="C144" s="25" t="s">
        <v>702</v>
      </c>
      <c r="D144" s="25"/>
      <c r="E144" s="25"/>
      <c r="F144" s="21">
        <v>0</v>
      </c>
      <c r="G144" s="83" t="s">
        <v>10</v>
      </c>
      <c r="H144" s="126">
        <f>2.682/0.5823</f>
        <v>4.605873261205564</v>
      </c>
      <c r="I144" s="69" t="s">
        <v>71</v>
      </c>
    </row>
    <row r="145" spans="1:9" s="24" customFormat="1" ht="12.75" customHeight="1">
      <c r="A145" s="25" t="s">
        <v>256</v>
      </c>
      <c r="B145" s="22">
        <v>2003</v>
      </c>
      <c r="C145" s="25" t="s">
        <v>703</v>
      </c>
      <c r="D145" s="25"/>
      <c r="E145" s="25"/>
      <c r="F145" s="21">
        <v>0</v>
      </c>
      <c r="G145" s="83" t="s">
        <v>10</v>
      </c>
      <c r="H145" s="126">
        <f>0.161/0.5823</f>
        <v>0.2764897818993646</v>
      </c>
      <c r="I145" s="69" t="s">
        <v>71</v>
      </c>
    </row>
    <row r="146" spans="1:9" s="24" customFormat="1" ht="12.75" customHeight="1">
      <c r="A146" s="25" t="s">
        <v>256</v>
      </c>
      <c r="B146" s="22">
        <v>2003</v>
      </c>
      <c r="C146" s="25" t="s">
        <v>705</v>
      </c>
      <c r="D146" s="25"/>
      <c r="E146" s="25"/>
      <c r="F146" s="21">
        <v>0</v>
      </c>
      <c r="G146" s="83" t="s">
        <v>10</v>
      </c>
      <c r="H146" s="126">
        <f>0.084/0.5823</f>
        <v>0.14425553838227717</v>
      </c>
      <c r="I146" s="69" t="s">
        <v>71</v>
      </c>
    </row>
    <row r="147" spans="1:9" s="24" customFormat="1" ht="12.75" customHeight="1">
      <c r="A147" s="25"/>
      <c r="B147" s="22"/>
      <c r="C147" s="25"/>
      <c r="D147" s="25"/>
      <c r="E147" s="25"/>
      <c r="F147" s="21"/>
      <c r="G147" s="83"/>
      <c r="H147" s="126"/>
      <c r="I147" s="21"/>
    </row>
    <row r="148" spans="1:9" s="24" customFormat="1" ht="12.75" customHeight="1">
      <c r="A148" s="25" t="s">
        <v>256</v>
      </c>
      <c r="B148" s="22">
        <v>2004</v>
      </c>
      <c r="C148" s="25" t="s">
        <v>703</v>
      </c>
      <c r="D148" s="25" t="s">
        <v>42</v>
      </c>
      <c r="E148" s="25"/>
      <c r="F148" s="21">
        <v>0.052</v>
      </c>
      <c r="G148" s="83" t="s">
        <v>10</v>
      </c>
      <c r="H148" s="126">
        <f>2.522/0.664</f>
        <v>3.798192771084337</v>
      </c>
      <c r="I148" s="21">
        <f aca="true" t="shared" si="3" ref="I148:I158">$H148/$F148</f>
        <v>73.04216867469879</v>
      </c>
    </row>
    <row r="149" spans="1:9" s="24" customFormat="1" ht="12.75" customHeight="1">
      <c r="A149" s="25" t="s">
        <v>256</v>
      </c>
      <c r="B149" s="22">
        <v>2004</v>
      </c>
      <c r="C149" s="25" t="s">
        <v>700</v>
      </c>
      <c r="D149" s="25"/>
      <c r="E149" s="25"/>
      <c r="F149" s="21">
        <v>0.036</v>
      </c>
      <c r="G149" s="83" t="s">
        <v>10</v>
      </c>
      <c r="H149" s="126">
        <f>49.114/0.664</f>
        <v>73.9668674698795</v>
      </c>
      <c r="I149" s="21">
        <f t="shared" si="3"/>
        <v>2054.635207496653</v>
      </c>
    </row>
    <row r="150" spans="1:9" s="24" customFormat="1" ht="12.75" customHeight="1">
      <c r="A150" s="25" t="s">
        <v>256</v>
      </c>
      <c r="B150" s="22">
        <v>2004</v>
      </c>
      <c r="C150" s="25" t="s">
        <v>702</v>
      </c>
      <c r="D150" s="25"/>
      <c r="E150" s="25"/>
      <c r="F150" s="21">
        <v>0.031</v>
      </c>
      <c r="G150" s="83" t="s">
        <v>10</v>
      </c>
      <c r="H150" s="126">
        <f>57.871/0.664</f>
        <v>87.15512048192771</v>
      </c>
      <c r="I150" s="21">
        <f t="shared" si="3"/>
        <v>2811.455499417023</v>
      </c>
    </row>
    <row r="151" spans="1:9" s="24" customFormat="1" ht="12.75" customHeight="1">
      <c r="A151" s="25" t="s">
        <v>256</v>
      </c>
      <c r="B151" s="22">
        <v>2004</v>
      </c>
      <c r="C151" s="25" t="s">
        <v>269</v>
      </c>
      <c r="D151" s="25"/>
      <c r="E151" s="25"/>
      <c r="F151" s="21">
        <v>0.03</v>
      </c>
      <c r="G151" s="83" t="s">
        <v>10</v>
      </c>
      <c r="H151" s="126">
        <f>128.747/0.664</f>
        <v>193.8960843373494</v>
      </c>
      <c r="I151" s="21">
        <f t="shared" si="3"/>
        <v>6463.202811244981</v>
      </c>
    </row>
    <row r="152" spans="1:9" s="24" customFormat="1" ht="12.75" customHeight="1">
      <c r="A152" s="25" t="s">
        <v>256</v>
      </c>
      <c r="B152" s="22">
        <v>2004</v>
      </c>
      <c r="C152" s="25" t="s">
        <v>704</v>
      </c>
      <c r="D152" s="25"/>
      <c r="E152" s="25"/>
      <c r="F152" s="21">
        <v>0.02</v>
      </c>
      <c r="G152" s="83" t="s">
        <v>10</v>
      </c>
      <c r="H152" s="126">
        <f>161.874/0.664</f>
        <v>243.78614457831324</v>
      </c>
      <c r="I152" s="21">
        <f t="shared" si="3"/>
        <v>12189.307228915663</v>
      </c>
    </row>
    <row r="153" spans="1:9" s="24" customFormat="1" ht="12.75" customHeight="1">
      <c r="A153" s="25" t="s">
        <v>256</v>
      </c>
      <c r="B153" s="22">
        <v>2004</v>
      </c>
      <c r="C153" s="25" t="s">
        <v>701</v>
      </c>
      <c r="D153" s="25"/>
      <c r="E153" s="25"/>
      <c r="F153" s="21">
        <v>0.003</v>
      </c>
      <c r="G153" s="83" t="s">
        <v>10</v>
      </c>
      <c r="H153" s="126">
        <f>26.723/0.664</f>
        <v>40.24548192771084</v>
      </c>
      <c r="I153" s="21">
        <f t="shared" si="3"/>
        <v>13415.16064257028</v>
      </c>
    </row>
    <row r="154" spans="1:9" s="24" customFormat="1" ht="12.75" customHeight="1">
      <c r="A154" s="25" t="s">
        <v>256</v>
      </c>
      <c r="B154" s="22">
        <v>2004</v>
      </c>
      <c r="C154" s="25" t="s">
        <v>697</v>
      </c>
      <c r="D154" s="25"/>
      <c r="E154" s="25"/>
      <c r="F154" s="21">
        <v>0.002</v>
      </c>
      <c r="G154" s="83" t="s">
        <v>10</v>
      </c>
      <c r="H154" s="126">
        <f>7.661/0.664</f>
        <v>11.537650602409638</v>
      </c>
      <c r="I154" s="21">
        <f t="shared" si="3"/>
        <v>5768.825301204819</v>
      </c>
    </row>
    <row r="155" spans="1:9" s="24" customFormat="1" ht="12.75" customHeight="1">
      <c r="A155" s="25" t="s">
        <v>256</v>
      </c>
      <c r="B155" s="22">
        <v>2004</v>
      </c>
      <c r="C155" s="25" t="s">
        <v>699</v>
      </c>
      <c r="D155" s="25"/>
      <c r="E155" s="25"/>
      <c r="F155" s="21">
        <v>0.002</v>
      </c>
      <c r="G155" s="83" t="s">
        <v>10</v>
      </c>
      <c r="H155" s="126">
        <f>11.156/0.664</f>
        <v>16.801204819277107</v>
      </c>
      <c r="I155" s="21">
        <f t="shared" si="3"/>
        <v>8400.602409638554</v>
      </c>
    </row>
    <row r="156" spans="1:9" s="24" customFormat="1" ht="12.75" customHeight="1">
      <c r="A156" s="25" t="s">
        <v>256</v>
      </c>
      <c r="B156" s="22">
        <v>2004</v>
      </c>
      <c r="C156" s="25" t="s">
        <v>696</v>
      </c>
      <c r="D156" s="25"/>
      <c r="E156" s="25"/>
      <c r="F156" s="21">
        <v>0.001</v>
      </c>
      <c r="G156" s="83" t="s">
        <v>10</v>
      </c>
      <c r="H156" s="126">
        <f>3.655/0.664</f>
        <v>5.504518072289156</v>
      </c>
      <c r="I156" s="21">
        <f t="shared" si="3"/>
        <v>5504.5180722891555</v>
      </c>
    </row>
    <row r="157" spans="1:9" s="24" customFormat="1" ht="12.75" customHeight="1">
      <c r="A157" s="25" t="s">
        <v>256</v>
      </c>
      <c r="B157" s="22">
        <v>2004</v>
      </c>
      <c r="C157" s="25" t="s">
        <v>267</v>
      </c>
      <c r="D157" s="25"/>
      <c r="E157" s="25"/>
      <c r="F157" s="21">
        <v>0.001</v>
      </c>
      <c r="G157" s="83" t="s">
        <v>10</v>
      </c>
      <c r="H157" s="126">
        <f>7.064/0.664</f>
        <v>10.638554216867469</v>
      </c>
      <c r="I157" s="21">
        <f t="shared" si="3"/>
        <v>10638.55421686747</v>
      </c>
    </row>
    <row r="158" spans="1:9" s="24" customFormat="1" ht="12.75" customHeight="1">
      <c r="A158" s="25" t="s">
        <v>256</v>
      </c>
      <c r="B158" s="22">
        <v>2004</v>
      </c>
      <c r="C158" s="25" t="s">
        <v>706</v>
      </c>
      <c r="D158" s="25"/>
      <c r="E158" s="25"/>
      <c r="F158" s="21">
        <v>0.001</v>
      </c>
      <c r="G158" s="83" t="s">
        <v>10</v>
      </c>
      <c r="H158" s="126">
        <f>5.981/0.664</f>
        <v>9.007530120481928</v>
      </c>
      <c r="I158" s="21">
        <f t="shared" si="3"/>
        <v>9007.530120481928</v>
      </c>
    </row>
    <row r="159" spans="1:9" s="24" customFormat="1" ht="12.75" customHeight="1">
      <c r="A159" s="238"/>
      <c r="B159" s="239"/>
      <c r="C159" s="25"/>
      <c r="D159" s="25"/>
      <c r="E159" s="25"/>
      <c r="F159" s="21"/>
      <c r="G159" s="83"/>
      <c r="H159" s="126"/>
      <c r="I159" s="21"/>
    </row>
    <row r="160" spans="1:9" s="24" customFormat="1" ht="12.75" customHeight="1">
      <c r="A160" s="25" t="s">
        <v>55</v>
      </c>
      <c r="B160" s="22">
        <v>2003</v>
      </c>
      <c r="C160" s="22" t="s">
        <v>45</v>
      </c>
      <c r="D160" s="25" t="s">
        <v>42</v>
      </c>
      <c r="E160" s="25"/>
      <c r="F160" s="21">
        <v>1.295</v>
      </c>
      <c r="G160" s="83"/>
      <c r="H160" s="126">
        <f>720.177</f>
        <v>720.177</v>
      </c>
      <c r="I160" s="21">
        <f>$H160/$F160</f>
        <v>556.1212355212356</v>
      </c>
    </row>
    <row r="161" spans="1:9" s="24" customFormat="1" ht="12.75" customHeight="1">
      <c r="A161" s="25" t="s">
        <v>55</v>
      </c>
      <c r="B161" s="22">
        <v>2003</v>
      </c>
      <c r="C161" s="22" t="s">
        <v>61</v>
      </c>
      <c r="D161" s="25"/>
      <c r="E161" s="25"/>
      <c r="F161" s="21">
        <v>0.017</v>
      </c>
      <c r="G161" s="83" t="s">
        <v>10</v>
      </c>
      <c r="H161" s="126">
        <f>12.288</f>
        <v>12.288</v>
      </c>
      <c r="I161" s="21">
        <f>$H161/$F161</f>
        <v>722.8235294117646</v>
      </c>
    </row>
    <row r="162" spans="1:9" s="24" customFormat="1" ht="12.75" customHeight="1">
      <c r="A162" s="25" t="s">
        <v>55</v>
      </c>
      <c r="B162" s="22">
        <v>2003</v>
      </c>
      <c r="C162" s="22" t="s">
        <v>44</v>
      </c>
      <c r="D162" s="25"/>
      <c r="E162" s="25"/>
      <c r="F162" s="21">
        <v>0.08</v>
      </c>
      <c r="G162" s="83" t="s">
        <v>10</v>
      </c>
      <c r="H162" s="126">
        <f>96.607</f>
        <v>96.607</v>
      </c>
      <c r="I162" s="21">
        <f>$H162/$F162</f>
        <v>1207.5874999999999</v>
      </c>
    </row>
    <row r="163" spans="1:9" s="24" customFormat="1" ht="12.75" customHeight="1">
      <c r="A163" s="25" t="s">
        <v>55</v>
      </c>
      <c r="B163" s="22">
        <v>2003</v>
      </c>
      <c r="C163" s="22" t="s">
        <v>46</v>
      </c>
      <c r="D163" s="25"/>
      <c r="E163" s="25"/>
      <c r="F163" s="21">
        <v>0.013</v>
      </c>
      <c r="G163" s="83" t="s">
        <v>10</v>
      </c>
      <c r="H163" s="126">
        <f>22.316</f>
        <v>22.316</v>
      </c>
      <c r="I163" s="21">
        <f>$H163/$F163</f>
        <v>1716.6153846153845</v>
      </c>
    </row>
    <row r="164" spans="1:9" s="24" customFormat="1" ht="12.75" customHeight="1">
      <c r="A164" s="25"/>
      <c r="B164" s="22"/>
      <c r="C164" s="25"/>
      <c r="D164" s="25"/>
      <c r="E164" s="25"/>
      <c r="F164" s="21"/>
      <c r="G164" s="83"/>
      <c r="H164" s="126"/>
      <c r="I164" s="21"/>
    </row>
    <row r="165" spans="1:9" s="24" customFormat="1" ht="12.75" customHeight="1">
      <c r="A165" s="25" t="s">
        <v>55</v>
      </c>
      <c r="B165" s="22">
        <v>2004</v>
      </c>
      <c r="C165" s="22" t="s">
        <v>45</v>
      </c>
      <c r="D165" s="25" t="s">
        <v>42</v>
      </c>
      <c r="E165" s="25"/>
      <c r="F165" s="21">
        <v>0.39</v>
      </c>
      <c r="G165" s="83" t="s">
        <v>10</v>
      </c>
      <c r="H165" s="126">
        <f>1596/6.7408</f>
        <v>236.76714929978638</v>
      </c>
      <c r="I165" s="21">
        <f>$H165/$F165</f>
        <v>607.0952546148369</v>
      </c>
    </row>
    <row r="166" spans="1:9" s="24" customFormat="1" ht="12.75" customHeight="1">
      <c r="A166" s="25" t="s">
        <v>55</v>
      </c>
      <c r="B166" s="22">
        <v>2004</v>
      </c>
      <c r="C166" s="22" t="s">
        <v>61</v>
      </c>
      <c r="D166" s="25"/>
      <c r="E166" s="25"/>
      <c r="F166" s="21">
        <v>0.054</v>
      </c>
      <c r="G166" s="83" t="s">
        <v>10</v>
      </c>
      <c r="H166" s="126">
        <f>212/6.7408</f>
        <v>31.450272964633278</v>
      </c>
      <c r="I166" s="21">
        <f>$H166/$F166</f>
        <v>582.4124623080237</v>
      </c>
    </row>
    <row r="167" spans="1:9" s="24" customFormat="1" ht="12.75" customHeight="1">
      <c r="A167" s="25" t="s">
        <v>55</v>
      </c>
      <c r="B167" s="22">
        <v>2004</v>
      </c>
      <c r="C167" s="22" t="s">
        <v>44</v>
      </c>
      <c r="D167" s="25"/>
      <c r="E167" s="25"/>
      <c r="F167" s="21">
        <v>0.228</v>
      </c>
      <c r="G167" s="83" t="s">
        <v>10</v>
      </c>
      <c r="H167" s="126">
        <f>1162/6.7408</f>
        <v>172.38309992879184</v>
      </c>
      <c r="I167" s="21">
        <f>$H167/$F167</f>
        <v>756.0662277578589</v>
      </c>
    </row>
    <row r="168" spans="1:9" s="24" customFormat="1" ht="12.75" customHeight="1">
      <c r="A168" s="25" t="s">
        <v>55</v>
      </c>
      <c r="B168" s="22">
        <v>2004</v>
      </c>
      <c r="C168" s="22" t="s">
        <v>46</v>
      </c>
      <c r="D168" s="25"/>
      <c r="E168" s="25"/>
      <c r="F168" s="21">
        <v>0.009</v>
      </c>
      <c r="G168" s="83" t="s">
        <v>10</v>
      </c>
      <c r="H168" s="126">
        <f>121/6.7408</f>
        <v>17.950391644908617</v>
      </c>
      <c r="I168" s="21">
        <f>$H168/$F168</f>
        <v>1994.487960545402</v>
      </c>
    </row>
    <row r="169" spans="1:9" s="24" customFormat="1" ht="12.75" customHeight="1">
      <c r="A169" s="25"/>
      <c r="B169" s="22"/>
      <c r="C169" s="25"/>
      <c r="D169" s="25"/>
      <c r="E169" s="25"/>
      <c r="F169" s="21"/>
      <c r="G169" s="83"/>
      <c r="H169" s="126"/>
      <c r="I169" s="21"/>
    </row>
    <row r="170" spans="1:9" s="24" customFormat="1" ht="12.75" customHeight="1">
      <c r="A170" s="25" t="s">
        <v>77</v>
      </c>
      <c r="B170" s="22">
        <v>2003</v>
      </c>
      <c r="C170" s="25" t="s">
        <v>626</v>
      </c>
      <c r="D170" s="25" t="s">
        <v>42</v>
      </c>
      <c r="E170" s="25"/>
      <c r="F170" s="21">
        <v>0</v>
      </c>
      <c r="G170" s="83" t="s">
        <v>10</v>
      </c>
      <c r="H170" s="135">
        <v>18</v>
      </c>
      <c r="I170" s="70" t="s">
        <v>71</v>
      </c>
    </row>
    <row r="171" spans="1:9" s="24" customFormat="1" ht="12.75" customHeight="1">
      <c r="A171" s="25" t="s">
        <v>77</v>
      </c>
      <c r="B171" s="22">
        <v>2003</v>
      </c>
      <c r="C171" s="25" t="s">
        <v>627</v>
      </c>
      <c r="D171" s="25"/>
      <c r="E171" s="25"/>
      <c r="F171" s="21">
        <v>0</v>
      </c>
      <c r="G171" s="83" t="s">
        <v>10</v>
      </c>
      <c r="H171" s="137">
        <v>59</v>
      </c>
      <c r="I171" s="70" t="s">
        <v>71</v>
      </c>
    </row>
    <row r="172" spans="1:9" s="24" customFormat="1" ht="12.75" customHeight="1">
      <c r="A172" s="25" t="s">
        <v>77</v>
      </c>
      <c r="B172" s="22">
        <v>2003</v>
      </c>
      <c r="C172" s="25" t="s">
        <v>628</v>
      </c>
      <c r="D172" s="25"/>
      <c r="E172" s="25"/>
      <c r="F172" s="21">
        <v>0</v>
      </c>
      <c r="G172" s="83" t="s">
        <v>10</v>
      </c>
      <c r="H172" s="120">
        <v>25</v>
      </c>
      <c r="I172" s="70" t="s">
        <v>71</v>
      </c>
    </row>
    <row r="173" spans="1:9" s="24" customFormat="1" ht="12.75" customHeight="1">
      <c r="A173" s="25" t="s">
        <v>77</v>
      </c>
      <c r="B173" s="22">
        <v>2003</v>
      </c>
      <c r="C173" s="25" t="s">
        <v>629</v>
      </c>
      <c r="D173" s="25"/>
      <c r="E173" s="25"/>
      <c r="F173" s="21">
        <v>0</v>
      </c>
      <c r="G173" s="83" t="s">
        <v>10</v>
      </c>
      <c r="H173" s="134">
        <v>1</v>
      </c>
      <c r="I173" s="70" t="s">
        <v>71</v>
      </c>
    </row>
    <row r="174" spans="1:9" s="24" customFormat="1" ht="12.75" customHeight="1">
      <c r="A174" s="25" t="s">
        <v>77</v>
      </c>
      <c r="B174" s="22">
        <v>2003</v>
      </c>
      <c r="C174" s="25" t="s">
        <v>630</v>
      </c>
      <c r="D174" s="25"/>
      <c r="E174" s="25"/>
      <c r="F174" s="21">
        <v>0</v>
      </c>
      <c r="G174" s="83" t="s">
        <v>10</v>
      </c>
      <c r="H174" s="135">
        <v>0</v>
      </c>
      <c r="I174" s="70" t="s">
        <v>71</v>
      </c>
    </row>
    <row r="175" spans="1:9" s="24" customFormat="1" ht="12.75" customHeight="1">
      <c r="A175" s="25" t="s">
        <v>77</v>
      </c>
      <c r="B175" s="22">
        <v>2003</v>
      </c>
      <c r="C175" s="24" t="s">
        <v>631</v>
      </c>
      <c r="E175" s="25"/>
      <c r="F175" s="21">
        <v>0</v>
      </c>
      <c r="G175" s="83" t="s">
        <v>10</v>
      </c>
      <c r="H175" s="121">
        <v>185</v>
      </c>
      <c r="I175" s="70" t="s">
        <v>71</v>
      </c>
    </row>
    <row r="176" spans="1:9" s="24" customFormat="1" ht="12.75" customHeight="1">
      <c r="A176" s="25" t="s">
        <v>77</v>
      </c>
      <c r="B176" s="22">
        <v>2003</v>
      </c>
      <c r="C176" s="20"/>
      <c r="D176" s="75" t="s">
        <v>482</v>
      </c>
      <c r="E176" s="75"/>
      <c r="F176" s="75">
        <v>228</v>
      </c>
      <c r="G176" s="83"/>
      <c r="H176" s="120">
        <v>36750</v>
      </c>
      <c r="I176" s="19">
        <f>$H176/$F176</f>
        <v>161.18421052631578</v>
      </c>
    </row>
    <row r="177" spans="1:9" s="24" customFormat="1" ht="12.75" customHeight="1">
      <c r="A177" s="25"/>
      <c r="B177" s="22"/>
      <c r="C177" s="20"/>
      <c r="D177" s="75"/>
      <c r="E177" s="75"/>
      <c r="F177" s="255"/>
      <c r="G177" s="83"/>
      <c r="H177" s="120"/>
      <c r="I177" s="19"/>
    </row>
    <row r="178" spans="1:9" s="24" customFormat="1" ht="12.75" customHeight="1">
      <c r="A178" s="25" t="s">
        <v>77</v>
      </c>
      <c r="B178" s="22">
        <v>2004</v>
      </c>
      <c r="C178" s="25" t="s">
        <v>626</v>
      </c>
      <c r="D178" s="25" t="s">
        <v>42</v>
      </c>
      <c r="E178" s="25"/>
      <c r="F178" s="21">
        <v>0</v>
      </c>
      <c r="G178" s="83" t="s">
        <v>10</v>
      </c>
      <c r="H178" s="120">
        <v>1</v>
      </c>
      <c r="I178" s="70" t="s">
        <v>71</v>
      </c>
    </row>
    <row r="179" spans="1:9" s="24" customFormat="1" ht="12.75" customHeight="1">
      <c r="A179" s="25" t="s">
        <v>77</v>
      </c>
      <c r="B179" s="22">
        <v>2004</v>
      </c>
      <c r="C179" s="25" t="s">
        <v>627</v>
      </c>
      <c r="D179" s="25"/>
      <c r="E179" s="25"/>
      <c r="F179" s="21">
        <v>0</v>
      </c>
      <c r="G179" s="83" t="s">
        <v>10</v>
      </c>
      <c r="H179" s="120">
        <v>0</v>
      </c>
      <c r="I179" s="70" t="s">
        <v>71</v>
      </c>
    </row>
    <row r="180" spans="1:9" s="24" customFormat="1" ht="12.75" customHeight="1">
      <c r="A180" s="25" t="s">
        <v>77</v>
      </c>
      <c r="B180" s="22">
        <v>2004</v>
      </c>
      <c r="C180" s="25" t="s">
        <v>628</v>
      </c>
      <c r="D180" s="25"/>
      <c r="E180" s="25"/>
      <c r="F180" s="21">
        <v>0</v>
      </c>
      <c r="G180" s="83" t="s">
        <v>10</v>
      </c>
      <c r="H180" s="120">
        <v>92</v>
      </c>
      <c r="I180" s="70" t="s">
        <v>71</v>
      </c>
    </row>
    <row r="181" spans="1:9" s="24" customFormat="1" ht="12.75" customHeight="1">
      <c r="A181" s="25" t="s">
        <v>77</v>
      </c>
      <c r="B181" s="22">
        <v>2004</v>
      </c>
      <c r="C181" s="25" t="s">
        <v>629</v>
      </c>
      <c r="D181" s="25"/>
      <c r="E181" s="25"/>
      <c r="F181" s="21">
        <v>0</v>
      </c>
      <c r="G181" s="83" t="s">
        <v>10</v>
      </c>
      <c r="H181" s="120">
        <v>3</v>
      </c>
      <c r="I181" s="70" t="s">
        <v>71</v>
      </c>
    </row>
    <row r="182" spans="1:9" s="24" customFormat="1" ht="12.75" customHeight="1">
      <c r="A182" s="25" t="s">
        <v>77</v>
      </c>
      <c r="B182" s="22">
        <v>2004</v>
      </c>
      <c r="C182" s="25" t="s">
        <v>630</v>
      </c>
      <c r="D182" s="25"/>
      <c r="E182" s="25"/>
      <c r="F182" s="21">
        <v>0</v>
      </c>
      <c r="G182" s="83" t="s">
        <v>10</v>
      </c>
      <c r="H182" s="120">
        <v>18</v>
      </c>
      <c r="I182" s="70" t="s">
        <v>71</v>
      </c>
    </row>
    <row r="183" spans="1:9" s="24" customFormat="1" ht="12.75" customHeight="1">
      <c r="A183" s="25" t="s">
        <v>77</v>
      </c>
      <c r="B183" s="22">
        <v>2004</v>
      </c>
      <c r="C183" s="24" t="s">
        <v>631</v>
      </c>
      <c r="E183" s="25"/>
      <c r="F183" s="21">
        <v>0</v>
      </c>
      <c r="G183" s="83" t="s">
        <v>10</v>
      </c>
      <c r="H183" s="120">
        <v>116</v>
      </c>
      <c r="I183" s="70" t="s">
        <v>71</v>
      </c>
    </row>
    <row r="184" spans="1:9" s="24" customFormat="1" ht="12.75" customHeight="1">
      <c r="A184" s="25" t="s">
        <v>77</v>
      </c>
      <c r="B184" s="22">
        <v>2004</v>
      </c>
      <c r="C184" s="20"/>
      <c r="D184" s="75" t="s">
        <v>482</v>
      </c>
      <c r="E184" s="75"/>
      <c r="F184" s="75">
        <v>236</v>
      </c>
      <c r="G184" s="83"/>
      <c r="H184" s="120">
        <v>44133</v>
      </c>
      <c r="I184" s="19">
        <f>$H184/$F184</f>
        <v>187.00423728813558</v>
      </c>
    </row>
    <row r="185" spans="1:9" s="24" customFormat="1" ht="12.75" customHeight="1">
      <c r="A185" s="25"/>
      <c r="B185" s="22"/>
      <c r="C185" s="20"/>
      <c r="D185" s="75"/>
      <c r="E185" s="75"/>
      <c r="F185" s="255"/>
      <c r="G185" s="83"/>
      <c r="H185" s="120"/>
      <c r="I185" s="19"/>
    </row>
    <row r="186" spans="1:9" s="24" customFormat="1" ht="3" customHeight="1">
      <c r="A186" s="25"/>
      <c r="B186" s="22"/>
      <c r="C186" s="20"/>
      <c r="D186" s="75"/>
      <c r="E186" s="75"/>
      <c r="F186" s="75"/>
      <c r="G186" s="83"/>
      <c r="H186" s="120"/>
      <c r="I186" s="19"/>
    </row>
    <row r="187" spans="1:9" s="24" customFormat="1" ht="12.75" customHeight="1">
      <c r="A187" s="65" t="s">
        <v>165</v>
      </c>
      <c r="B187" s="270">
        <v>2003</v>
      </c>
      <c r="C187" s="270" t="s">
        <v>230</v>
      </c>
      <c r="D187" s="65" t="s">
        <v>42</v>
      </c>
      <c r="E187" s="65"/>
      <c r="F187" s="274">
        <v>82</v>
      </c>
      <c r="G187" s="287" t="s">
        <v>311</v>
      </c>
      <c r="H187" s="120">
        <f>30779.342</f>
        <v>30779.342</v>
      </c>
      <c r="I187" s="283">
        <f>$H187/$F187</f>
        <v>375.3578292682927</v>
      </c>
    </row>
    <row r="188" spans="1:9" s="24" customFormat="1" ht="12.75" customHeight="1">
      <c r="A188" s="65" t="s">
        <v>165</v>
      </c>
      <c r="B188" s="270">
        <v>2003</v>
      </c>
      <c r="C188" s="270" t="s">
        <v>229</v>
      </c>
      <c r="E188" s="65"/>
      <c r="F188" s="274">
        <v>0</v>
      </c>
      <c r="G188" s="287" t="s">
        <v>10</v>
      </c>
      <c r="H188" s="120">
        <f>1293.597</f>
        <v>1293.597</v>
      </c>
      <c r="I188" s="285" t="s">
        <v>71</v>
      </c>
    </row>
    <row r="189" spans="1:9" s="24" customFormat="1" ht="12.75" customHeight="1">
      <c r="A189" s="65"/>
      <c r="B189" s="270"/>
      <c r="C189" s="270"/>
      <c r="D189" s="65"/>
      <c r="E189" s="65"/>
      <c r="F189" s="274"/>
      <c r="G189" s="287"/>
      <c r="H189" s="120"/>
      <c r="I189" s="283"/>
    </row>
    <row r="190" spans="1:9" s="24" customFormat="1" ht="12.75" customHeight="1">
      <c r="A190" s="65" t="s">
        <v>165</v>
      </c>
      <c r="B190" s="270">
        <v>2004</v>
      </c>
      <c r="C190" s="270" t="s">
        <v>230</v>
      </c>
      <c r="D190" s="65" t="s">
        <v>42</v>
      </c>
      <c r="E190" s="65"/>
      <c r="F190" s="274">
        <v>90</v>
      </c>
      <c r="G190" s="287" t="s">
        <v>311</v>
      </c>
      <c r="H190" s="120">
        <v>34893</v>
      </c>
      <c r="I190" s="283">
        <f>$H190/$F190</f>
        <v>387.7</v>
      </c>
    </row>
    <row r="191" spans="1:9" s="24" customFormat="1" ht="12.75" customHeight="1">
      <c r="A191" s="65" t="s">
        <v>165</v>
      </c>
      <c r="B191" s="270">
        <v>2004</v>
      </c>
      <c r="C191" s="270" t="s">
        <v>229</v>
      </c>
      <c r="E191" s="65"/>
      <c r="F191" s="274">
        <v>1.128</v>
      </c>
      <c r="G191" s="287"/>
      <c r="H191" s="120">
        <v>721</v>
      </c>
      <c r="I191" s="283">
        <f>$H191/$F191</f>
        <v>639.1843971631206</v>
      </c>
    </row>
    <row r="192" spans="1:9" s="24" customFormat="1" ht="12.75" customHeight="1">
      <c r="A192" s="65"/>
      <c r="B192" s="270"/>
      <c r="C192" s="270"/>
      <c r="D192" s="65"/>
      <c r="E192" s="65"/>
      <c r="F192" s="274"/>
      <c r="G192" s="287"/>
      <c r="H192" s="120"/>
      <c r="I192" s="283"/>
    </row>
    <row r="193" spans="1:9" s="24" customFormat="1" ht="12.75" customHeight="1">
      <c r="A193" s="8" t="s">
        <v>17</v>
      </c>
      <c r="B193" s="22">
        <v>2003</v>
      </c>
      <c r="C193" s="3" t="s">
        <v>73</v>
      </c>
      <c r="D193" s="10" t="s">
        <v>510</v>
      </c>
      <c r="E193" s="288"/>
      <c r="F193" s="365">
        <v>0.067</v>
      </c>
      <c r="G193" s="357" t="s">
        <v>10</v>
      </c>
      <c r="H193" s="363">
        <v>56000</v>
      </c>
      <c r="I193" s="365">
        <f>$H193/$F193/1000</f>
        <v>835.820895522388</v>
      </c>
    </row>
    <row r="194" spans="1:9" s="24" customFormat="1" ht="12.75" customHeight="1">
      <c r="A194" s="8" t="s">
        <v>17</v>
      </c>
      <c r="B194" s="22">
        <v>2003</v>
      </c>
      <c r="C194" s="9" t="s">
        <v>3</v>
      </c>
      <c r="D194" s="10" t="s">
        <v>325</v>
      </c>
      <c r="E194" s="289"/>
      <c r="F194" s="365"/>
      <c r="G194" s="357"/>
      <c r="H194" s="363"/>
      <c r="I194" s="365"/>
    </row>
    <row r="195" spans="1:9" s="24" customFormat="1" ht="12.75" customHeight="1">
      <c r="A195" s="8" t="s">
        <v>17</v>
      </c>
      <c r="B195" s="22">
        <v>2003</v>
      </c>
      <c r="C195" s="3" t="s">
        <v>11</v>
      </c>
      <c r="D195" s="10" t="s">
        <v>511</v>
      </c>
      <c r="E195" s="289"/>
      <c r="F195" s="365"/>
      <c r="G195" s="357"/>
      <c r="H195" s="363"/>
      <c r="I195" s="365"/>
    </row>
    <row r="196" spans="1:9" s="24" customFormat="1" ht="12.75" customHeight="1">
      <c r="A196" s="8" t="s">
        <v>17</v>
      </c>
      <c r="B196" s="22">
        <v>2003</v>
      </c>
      <c r="C196" s="31" t="s">
        <v>4</v>
      </c>
      <c r="D196" s="10" t="s">
        <v>447</v>
      </c>
      <c r="E196" s="289"/>
      <c r="F196" s="365"/>
      <c r="G196" s="357"/>
      <c r="H196" s="363"/>
      <c r="I196" s="365"/>
    </row>
    <row r="197" spans="1:9" s="24" customFormat="1" ht="12.75" customHeight="1">
      <c r="A197" s="8" t="s">
        <v>17</v>
      </c>
      <c r="B197" s="22">
        <v>2003</v>
      </c>
      <c r="C197" s="9"/>
      <c r="D197" s="10" t="s">
        <v>482</v>
      </c>
      <c r="E197" s="290"/>
      <c r="F197" s="365"/>
      <c r="G197" s="357"/>
      <c r="H197" s="363"/>
      <c r="I197" s="365"/>
    </row>
    <row r="198" spans="1:9" s="24" customFormat="1" ht="12.75" customHeight="1">
      <c r="A198" s="25"/>
      <c r="B198" s="22"/>
      <c r="C198" s="20"/>
      <c r="D198" s="75"/>
      <c r="E198" s="75"/>
      <c r="F198" s="75"/>
      <c r="G198" s="83"/>
      <c r="H198" s="120"/>
      <c r="I198" s="19"/>
    </row>
    <row r="199" spans="1:9" s="24" customFormat="1" ht="12.75" customHeight="1">
      <c r="A199" s="8" t="s">
        <v>17</v>
      </c>
      <c r="B199" s="22">
        <v>2004</v>
      </c>
      <c r="C199" s="3" t="s">
        <v>73</v>
      </c>
      <c r="D199" s="10" t="s">
        <v>510</v>
      </c>
      <c r="E199" s="288"/>
      <c r="F199" s="365">
        <v>0.01</v>
      </c>
      <c r="G199" s="357" t="s">
        <v>10</v>
      </c>
      <c r="H199" s="363">
        <v>6000</v>
      </c>
      <c r="I199" s="365">
        <f>$H199/$F199/1000</f>
        <v>600</v>
      </c>
    </row>
    <row r="200" spans="1:9" s="24" customFormat="1" ht="12.75" customHeight="1">
      <c r="A200" s="8" t="s">
        <v>17</v>
      </c>
      <c r="B200" s="22">
        <v>2004</v>
      </c>
      <c r="C200" s="9" t="s">
        <v>3</v>
      </c>
      <c r="D200" s="10" t="s">
        <v>325</v>
      </c>
      <c r="E200" s="289"/>
      <c r="F200" s="365"/>
      <c r="G200" s="357"/>
      <c r="H200" s="363"/>
      <c r="I200" s="365"/>
    </row>
    <row r="201" spans="1:9" s="24" customFormat="1" ht="12.75" customHeight="1">
      <c r="A201" s="8" t="s">
        <v>17</v>
      </c>
      <c r="B201" s="22">
        <v>2004</v>
      </c>
      <c r="C201" s="3" t="s">
        <v>11</v>
      </c>
      <c r="D201" s="10" t="s">
        <v>511</v>
      </c>
      <c r="E201" s="289"/>
      <c r="F201" s="365"/>
      <c r="G201" s="357"/>
      <c r="H201" s="363"/>
      <c r="I201" s="365"/>
    </row>
    <row r="202" spans="1:9" s="24" customFormat="1" ht="12.75" customHeight="1">
      <c r="A202" s="8" t="s">
        <v>17</v>
      </c>
      <c r="B202" s="22">
        <v>2004</v>
      </c>
      <c r="C202" s="31" t="s">
        <v>4</v>
      </c>
      <c r="D202" s="10" t="s">
        <v>447</v>
      </c>
      <c r="E202" s="289"/>
      <c r="F202" s="365"/>
      <c r="G202" s="357"/>
      <c r="H202" s="363"/>
      <c r="I202" s="365"/>
    </row>
    <row r="203" spans="1:9" s="24" customFormat="1" ht="12.75" customHeight="1">
      <c r="A203" s="8" t="s">
        <v>17</v>
      </c>
      <c r="B203" s="22">
        <v>2004</v>
      </c>
      <c r="C203" s="9"/>
      <c r="D203" s="10" t="s">
        <v>482</v>
      </c>
      <c r="E203" s="290"/>
      <c r="F203" s="365"/>
      <c r="G203" s="357"/>
      <c r="H203" s="363"/>
      <c r="I203" s="365"/>
    </row>
    <row r="204" spans="1:9" s="24" customFormat="1" ht="12.75" customHeight="1">
      <c r="A204" s="25"/>
      <c r="B204" s="22"/>
      <c r="C204" s="20"/>
      <c r="D204" s="75"/>
      <c r="E204" s="75"/>
      <c r="F204" s="75"/>
      <c r="G204" s="83"/>
      <c r="H204" s="120"/>
      <c r="I204" s="19"/>
    </row>
    <row r="205" spans="1:9" s="24" customFormat="1" ht="12.75" customHeight="1">
      <c r="A205" s="25" t="s">
        <v>94</v>
      </c>
      <c r="B205" s="22">
        <v>2003</v>
      </c>
      <c r="C205" s="22" t="s">
        <v>133</v>
      </c>
      <c r="D205" s="25" t="s">
        <v>42</v>
      </c>
      <c r="E205" s="25"/>
      <c r="F205" s="21">
        <v>3.41408074</v>
      </c>
      <c r="G205" s="83" t="s">
        <v>180</v>
      </c>
      <c r="H205" s="120">
        <v>3880.398</v>
      </c>
      <c r="I205" s="19">
        <f>$H205/$F205</f>
        <v>1136.58647686229</v>
      </c>
    </row>
    <row r="206" spans="1:9" s="24" customFormat="1" ht="12.75" customHeight="1">
      <c r="A206" s="25" t="s">
        <v>94</v>
      </c>
      <c r="B206" s="22">
        <v>2003</v>
      </c>
      <c r="C206" s="22" t="s">
        <v>134</v>
      </c>
      <c r="D206" s="25"/>
      <c r="E206" s="25"/>
      <c r="F206" s="21">
        <v>2.1087987900000003</v>
      </c>
      <c r="G206" s="83" t="s">
        <v>180</v>
      </c>
      <c r="H206" s="120">
        <v>3863.014</v>
      </c>
      <c r="I206" s="19">
        <f>$H206/$F206</f>
        <v>1831.8551861460428</v>
      </c>
    </row>
    <row r="207" spans="1:9" s="24" customFormat="1" ht="12.75" customHeight="1">
      <c r="A207" s="25" t="s">
        <v>94</v>
      </c>
      <c r="B207" s="22">
        <v>2003</v>
      </c>
      <c r="C207" s="22" t="s">
        <v>132</v>
      </c>
      <c r="D207" s="25"/>
      <c r="E207" s="25"/>
      <c r="F207" s="21">
        <v>0.08305052</v>
      </c>
      <c r="G207" s="83" t="s">
        <v>181</v>
      </c>
      <c r="H207" s="125">
        <v>173.989</v>
      </c>
      <c r="I207" s="19">
        <f>$H207/$F207</f>
        <v>2094.977852035123</v>
      </c>
    </row>
    <row r="208" spans="1:9" s="24" customFormat="1" ht="12.75" customHeight="1">
      <c r="A208" s="25" t="s">
        <v>94</v>
      </c>
      <c r="B208" s="22">
        <v>2003</v>
      </c>
      <c r="C208" s="22" t="s">
        <v>131</v>
      </c>
      <c r="E208" s="25"/>
      <c r="F208" s="21">
        <v>0.02239587</v>
      </c>
      <c r="G208" s="83" t="s">
        <v>181</v>
      </c>
      <c r="H208" s="120">
        <v>26.912</v>
      </c>
      <c r="I208" s="19">
        <f>$H208/$F208</f>
        <v>1201.650125670492</v>
      </c>
    </row>
    <row r="209" spans="1:9" s="24" customFormat="1" ht="12.75" customHeight="1">
      <c r="A209" s="25" t="s">
        <v>94</v>
      </c>
      <c r="B209" s="22">
        <v>2003</v>
      </c>
      <c r="C209" s="22" t="s">
        <v>160</v>
      </c>
      <c r="D209" s="25"/>
      <c r="E209" s="25"/>
      <c r="F209" s="21">
        <v>0.01515402</v>
      </c>
      <c r="G209" s="83" t="s">
        <v>181</v>
      </c>
      <c r="H209" s="120">
        <v>64.905</v>
      </c>
      <c r="I209" s="19">
        <f>$H209/$F209</f>
        <v>4283.021930814398</v>
      </c>
    </row>
    <row r="210" spans="1:9" s="24" customFormat="1" ht="12.75" customHeight="1">
      <c r="A210" s="25"/>
      <c r="B210" s="22"/>
      <c r="C210" s="22"/>
      <c r="D210" s="25"/>
      <c r="E210" s="25"/>
      <c r="F210" s="21"/>
      <c r="G210" s="83"/>
      <c r="H210" s="120"/>
      <c r="I210" s="19"/>
    </row>
    <row r="211" spans="1:9" s="24" customFormat="1" ht="12.75" customHeight="1">
      <c r="A211" s="25" t="s">
        <v>94</v>
      </c>
      <c r="B211" s="22">
        <v>2004</v>
      </c>
      <c r="C211" s="22" t="s">
        <v>134</v>
      </c>
      <c r="D211" s="25" t="s">
        <v>42</v>
      </c>
      <c r="E211" s="25"/>
      <c r="F211" s="21">
        <v>8.270517220000002</v>
      </c>
      <c r="G211" s="83" t="s">
        <v>180</v>
      </c>
      <c r="H211" s="120">
        <v>11695.806</v>
      </c>
      <c r="I211" s="19">
        <f>$H211/$F211</f>
        <v>1414.1565380840834</v>
      </c>
    </row>
    <row r="212" spans="1:9" s="24" customFormat="1" ht="12.75" customHeight="1">
      <c r="A212" s="25" t="s">
        <v>94</v>
      </c>
      <c r="B212" s="22">
        <v>2004</v>
      </c>
      <c r="C212" s="22" t="s">
        <v>132</v>
      </c>
      <c r="D212" s="25"/>
      <c r="E212" s="25"/>
      <c r="F212" s="21">
        <v>0.14278747</v>
      </c>
      <c r="G212" s="83" t="s">
        <v>181</v>
      </c>
      <c r="H212" s="125">
        <v>315.131</v>
      </c>
      <c r="I212" s="19">
        <f>$H212/$F212</f>
        <v>2206.993372737818</v>
      </c>
    </row>
    <row r="213" spans="1:9" s="24" customFormat="1" ht="12.75" customHeight="1">
      <c r="A213" s="25" t="s">
        <v>94</v>
      </c>
      <c r="B213" s="22">
        <v>2004</v>
      </c>
      <c r="C213" s="22" t="s">
        <v>133</v>
      </c>
      <c r="D213" s="25"/>
      <c r="E213" s="25"/>
      <c r="F213" s="21">
        <v>0.038437</v>
      </c>
      <c r="G213" s="83" t="s">
        <v>181</v>
      </c>
      <c r="H213" s="120">
        <v>125.224</v>
      </c>
      <c r="I213" s="19">
        <f>$H213/$F213</f>
        <v>3257.9025418216825</v>
      </c>
    </row>
    <row r="214" spans="1:9" s="24" customFormat="1" ht="12.75" customHeight="1">
      <c r="A214" s="25" t="s">
        <v>94</v>
      </c>
      <c r="B214" s="22">
        <v>2004</v>
      </c>
      <c r="C214" s="22" t="s">
        <v>131</v>
      </c>
      <c r="E214" s="25"/>
      <c r="F214" s="21">
        <v>0.011529770000000002</v>
      </c>
      <c r="G214" s="83" t="s">
        <v>181</v>
      </c>
      <c r="H214" s="120">
        <v>367.831</v>
      </c>
      <c r="I214" s="69" t="s">
        <v>71</v>
      </c>
    </row>
    <row r="215" spans="1:9" s="24" customFormat="1" ht="12.75" customHeight="1">
      <c r="A215" s="25" t="s">
        <v>94</v>
      </c>
      <c r="B215" s="22">
        <v>2004</v>
      </c>
      <c r="C215" s="22" t="s">
        <v>160</v>
      </c>
      <c r="D215" s="25"/>
      <c r="E215" s="25"/>
      <c r="F215" s="21">
        <v>0.0006423900000000001</v>
      </c>
      <c r="G215" s="83" t="s">
        <v>181</v>
      </c>
      <c r="H215" s="120">
        <v>47.937</v>
      </c>
      <c r="I215" s="69" t="s">
        <v>71</v>
      </c>
    </row>
    <row r="216" spans="1:9" s="24" customFormat="1" ht="12.75" customHeight="1">
      <c r="A216" s="25"/>
      <c r="B216" s="22"/>
      <c r="C216" s="22"/>
      <c r="D216" s="25"/>
      <c r="E216" s="25"/>
      <c r="F216" s="21"/>
      <c r="G216" s="83"/>
      <c r="H216" s="120"/>
      <c r="I216" s="19"/>
    </row>
    <row r="217" spans="1:9" s="24" customFormat="1" ht="12.75" customHeight="1">
      <c r="A217" s="25" t="s">
        <v>24</v>
      </c>
      <c r="B217" s="22">
        <v>2003</v>
      </c>
      <c r="C217" s="9" t="s">
        <v>467</v>
      </c>
      <c r="D217" s="75" t="s">
        <v>366</v>
      </c>
      <c r="E217" s="75"/>
      <c r="F217" s="75">
        <v>1</v>
      </c>
      <c r="G217" s="103"/>
      <c r="H217" s="143">
        <v>381</v>
      </c>
      <c r="I217" s="25">
        <f>$H217/$F217</f>
        <v>381</v>
      </c>
    </row>
    <row r="218" spans="1:9" s="24" customFormat="1" ht="12.75" customHeight="1">
      <c r="A218" s="25" t="s">
        <v>24</v>
      </c>
      <c r="B218" s="22">
        <v>2003</v>
      </c>
      <c r="C218" s="25"/>
      <c r="D218" s="25" t="s">
        <v>482</v>
      </c>
      <c r="E218" s="25"/>
      <c r="F218" s="25">
        <v>1</v>
      </c>
      <c r="G218" s="103"/>
      <c r="H218" s="143">
        <v>259</v>
      </c>
      <c r="I218" s="25">
        <f>$H218/$F218</f>
        <v>259</v>
      </c>
    </row>
    <row r="219" spans="1:9" s="24" customFormat="1" ht="12.75" customHeight="1">
      <c r="A219" s="25"/>
      <c r="B219" s="22"/>
      <c r="C219" s="25"/>
      <c r="D219" s="25"/>
      <c r="E219" s="25"/>
      <c r="F219" s="25"/>
      <c r="G219" s="103"/>
      <c r="H219" s="143"/>
      <c r="I219" s="25"/>
    </row>
    <row r="220" spans="1:9" s="24" customFormat="1" ht="12.75" customHeight="1">
      <c r="A220" s="25" t="s">
        <v>24</v>
      </c>
      <c r="B220" s="22">
        <v>2004</v>
      </c>
      <c r="C220" s="9" t="s">
        <v>467</v>
      </c>
      <c r="D220" s="75" t="s">
        <v>366</v>
      </c>
      <c r="E220" s="75"/>
      <c r="F220" s="75">
        <v>2</v>
      </c>
      <c r="G220" s="103"/>
      <c r="H220" s="143">
        <v>431</v>
      </c>
      <c r="I220" s="21">
        <f>$H220/$F220</f>
        <v>215.5</v>
      </c>
    </row>
    <row r="221" spans="1:9" s="24" customFormat="1" ht="12.75" customHeight="1">
      <c r="A221" s="25" t="s">
        <v>24</v>
      </c>
      <c r="B221" s="22">
        <v>2004</v>
      </c>
      <c r="C221" s="25"/>
      <c r="D221" s="25" t="s">
        <v>482</v>
      </c>
      <c r="E221" s="25"/>
      <c r="F221" s="25">
        <v>0</v>
      </c>
      <c r="G221" s="103" t="s">
        <v>10</v>
      </c>
      <c r="H221" s="143">
        <v>64</v>
      </c>
      <c r="I221" s="291" t="s">
        <v>71</v>
      </c>
    </row>
    <row r="222" spans="1:9" s="24" customFormat="1" ht="12.75" customHeight="1">
      <c r="A222" s="25"/>
      <c r="B222" s="22"/>
      <c r="C222" s="25"/>
      <c r="D222" s="25"/>
      <c r="E222" s="25"/>
      <c r="F222" s="25"/>
      <c r="G222" s="103"/>
      <c r="H222" s="143"/>
      <c r="I222" s="25"/>
    </row>
    <row r="223" spans="1:9" s="24" customFormat="1" ht="12.75" customHeight="1">
      <c r="A223" s="25" t="s">
        <v>27</v>
      </c>
      <c r="B223" s="22">
        <v>2003</v>
      </c>
      <c r="C223" s="25"/>
      <c r="D223" s="25" t="s">
        <v>482</v>
      </c>
      <c r="E223" s="25"/>
      <c r="F223" s="21">
        <v>0.07</v>
      </c>
      <c r="G223" s="104" t="s">
        <v>10</v>
      </c>
      <c r="H223" s="126">
        <f>67.471</f>
        <v>67.471</v>
      </c>
      <c r="I223" s="21">
        <f>$H223/$F223</f>
        <v>963.8714285714285</v>
      </c>
    </row>
    <row r="224" spans="1:9" s="24" customFormat="1" ht="12.75" customHeight="1">
      <c r="A224" s="25"/>
      <c r="B224" s="22"/>
      <c r="C224" s="25"/>
      <c r="D224" s="25"/>
      <c r="E224" s="25"/>
      <c r="F224" s="21"/>
      <c r="G224" s="104"/>
      <c r="H224" s="126"/>
      <c r="I224" s="21"/>
    </row>
    <row r="225" spans="1:9" s="24" customFormat="1" ht="12.75" customHeight="1">
      <c r="A225" s="25" t="s">
        <v>27</v>
      </c>
      <c r="B225" s="22">
        <v>2004</v>
      </c>
      <c r="C225" s="25"/>
      <c r="D225" s="25" t="s">
        <v>482</v>
      </c>
      <c r="E225" s="25"/>
      <c r="F225" s="21">
        <v>0.01</v>
      </c>
      <c r="G225" s="104" t="s">
        <v>10</v>
      </c>
      <c r="H225" s="126">
        <v>15.386</v>
      </c>
      <c r="I225" s="21">
        <f>H225/F225</f>
        <v>1538.6</v>
      </c>
    </row>
    <row r="226" spans="1:9" s="24" customFormat="1" ht="12.75" customHeight="1">
      <c r="A226" s="25"/>
      <c r="B226" s="22"/>
      <c r="C226" s="25"/>
      <c r="D226" s="25"/>
      <c r="E226" s="25"/>
      <c r="F226" s="21"/>
      <c r="G226" s="104"/>
      <c r="H226" s="126"/>
      <c r="I226" s="21"/>
    </row>
    <row r="227" spans="1:9" s="62" customFormat="1" ht="12.75" customHeight="1">
      <c r="A227" s="25" t="s">
        <v>294</v>
      </c>
      <c r="B227" s="22">
        <v>2003</v>
      </c>
      <c r="C227" s="28" t="s">
        <v>292</v>
      </c>
      <c r="D227" s="75" t="s">
        <v>340</v>
      </c>
      <c r="E227" s="75"/>
      <c r="F227" s="255">
        <f>45.18/10</f>
        <v>4.518</v>
      </c>
      <c r="G227" s="104" t="s">
        <v>311</v>
      </c>
      <c r="H227" s="126">
        <f>1055.858</f>
        <v>1055.858</v>
      </c>
      <c r="I227" s="21">
        <f>$H227/$F227</f>
        <v>233.70030987162463</v>
      </c>
    </row>
    <row r="228" spans="1:9" s="24" customFormat="1" ht="12.75" customHeight="1">
      <c r="A228" s="25" t="s">
        <v>294</v>
      </c>
      <c r="B228" s="22">
        <v>2003</v>
      </c>
      <c r="C228" s="9" t="s">
        <v>467</v>
      </c>
      <c r="D228" s="10" t="s">
        <v>384</v>
      </c>
      <c r="E228" s="75"/>
      <c r="F228" s="255">
        <f>0.422/10</f>
        <v>0.0422</v>
      </c>
      <c r="G228" s="104" t="s">
        <v>307</v>
      </c>
      <c r="H228" s="126">
        <f>223.917/10</f>
        <v>22.3917</v>
      </c>
      <c r="I228" s="21">
        <f>$H228/$F228</f>
        <v>530.6090047393365</v>
      </c>
    </row>
    <row r="229" spans="1:9" s="24" customFormat="1" ht="12.75" customHeight="1">
      <c r="A229" s="25" t="s">
        <v>294</v>
      </c>
      <c r="B229" s="22">
        <v>2003</v>
      </c>
      <c r="C229" s="25" t="s">
        <v>299</v>
      </c>
      <c r="D229" s="25" t="s">
        <v>42</v>
      </c>
      <c r="E229" s="25"/>
      <c r="F229" s="21">
        <f>266.965/10</f>
        <v>26.696499999999997</v>
      </c>
      <c r="G229" s="104" t="s">
        <v>311</v>
      </c>
      <c r="H229" s="126">
        <f>6746.875</f>
        <v>6746.875</v>
      </c>
      <c r="I229" s="21">
        <f>$H229/$F229</f>
        <v>252.72507632086607</v>
      </c>
    </row>
    <row r="230" spans="1:9" s="24" customFormat="1" ht="12.75" customHeight="1">
      <c r="A230" s="25" t="s">
        <v>294</v>
      </c>
      <c r="B230" s="22">
        <v>2003</v>
      </c>
      <c r="C230" s="25" t="s">
        <v>167</v>
      </c>
      <c r="D230" s="25"/>
      <c r="E230" s="25"/>
      <c r="F230" s="21">
        <f>82.919/10</f>
        <v>8.2919</v>
      </c>
      <c r="G230" s="104" t="s">
        <v>311</v>
      </c>
      <c r="H230" s="126">
        <f>20921.337/10</f>
        <v>2092.1337</v>
      </c>
      <c r="I230" s="21">
        <f>$H230/$F230</f>
        <v>252.31053196492962</v>
      </c>
    </row>
    <row r="231" spans="1:9" ht="12.75" customHeight="1">
      <c r="A231" s="25"/>
      <c r="C231" s="25"/>
      <c r="D231" s="25"/>
      <c r="E231" s="25"/>
      <c r="F231" s="21"/>
      <c r="G231" s="104"/>
      <c r="H231" s="126"/>
      <c r="I231" s="21"/>
    </row>
    <row r="232" spans="1:9" s="62" customFormat="1" ht="12.75" customHeight="1">
      <c r="A232" s="25" t="s">
        <v>294</v>
      </c>
      <c r="B232" s="22">
        <v>2004</v>
      </c>
      <c r="C232" s="28" t="s">
        <v>292</v>
      </c>
      <c r="D232" s="75" t="s">
        <v>340</v>
      </c>
      <c r="E232" s="75"/>
      <c r="F232" s="255">
        <v>0.954</v>
      </c>
      <c r="G232" s="104"/>
      <c r="H232" s="126">
        <v>570.835</v>
      </c>
      <c r="I232" s="21">
        <f>$H232/$F232</f>
        <v>598.3595387840671</v>
      </c>
    </row>
    <row r="233" spans="1:9" s="24" customFormat="1" ht="12.75" customHeight="1">
      <c r="A233" s="25" t="s">
        <v>294</v>
      </c>
      <c r="B233" s="22">
        <v>2004</v>
      </c>
      <c r="C233" s="9" t="s">
        <v>467</v>
      </c>
      <c r="D233" s="10" t="s">
        <v>384</v>
      </c>
      <c r="E233" s="75"/>
      <c r="F233" s="255">
        <v>0.108</v>
      </c>
      <c r="G233" s="104" t="s">
        <v>10</v>
      </c>
      <c r="H233" s="126">
        <v>54.037</v>
      </c>
      <c r="I233" s="21">
        <f>$H233/$F233</f>
        <v>500.3425925925926</v>
      </c>
    </row>
    <row r="234" spans="1:9" s="24" customFormat="1" ht="12.75" customHeight="1">
      <c r="A234" s="25" t="s">
        <v>294</v>
      </c>
      <c r="B234" s="22">
        <v>2004</v>
      </c>
      <c r="C234" s="25" t="s">
        <v>167</v>
      </c>
      <c r="D234" s="25" t="s">
        <v>42</v>
      </c>
      <c r="E234" s="25"/>
      <c r="F234" s="21">
        <v>81.21119999999999</v>
      </c>
      <c r="G234" s="104" t="s">
        <v>311</v>
      </c>
      <c r="H234" s="126">
        <v>33525.283</v>
      </c>
      <c r="I234" s="21">
        <f>$H234/$F234</f>
        <v>412.8160032113798</v>
      </c>
    </row>
    <row r="235" spans="1:9" s="24" customFormat="1" ht="12.75" customHeight="1">
      <c r="A235" s="25" t="s">
        <v>294</v>
      </c>
      <c r="B235" s="22">
        <v>2004</v>
      </c>
      <c r="C235" s="25" t="s">
        <v>299</v>
      </c>
      <c r="E235" s="25"/>
      <c r="F235" s="21">
        <v>17.4175</v>
      </c>
      <c r="G235" s="104" t="s">
        <v>311</v>
      </c>
      <c r="H235" s="126">
        <v>8663.517</v>
      </c>
      <c r="I235" s="21">
        <f>$H235/$F235</f>
        <v>497.4030142098464</v>
      </c>
    </row>
    <row r="236" spans="1:9" s="165" customFormat="1" ht="12.75" customHeight="1">
      <c r="A236" s="180"/>
      <c r="B236" s="166"/>
      <c r="C236" s="180"/>
      <c r="D236" s="180"/>
      <c r="E236" s="180"/>
      <c r="F236" s="184"/>
      <c r="G236" s="199"/>
      <c r="H236" s="183"/>
      <c r="I236" s="184"/>
    </row>
    <row r="237" spans="1:9" s="165" customFormat="1" ht="3" customHeight="1">
      <c r="A237" s="180"/>
      <c r="B237" s="166"/>
      <c r="C237" s="180"/>
      <c r="D237" s="180"/>
      <c r="E237" s="180"/>
      <c r="F237" s="184"/>
      <c r="G237" s="199"/>
      <c r="H237" s="183"/>
      <c r="I237" s="184"/>
    </row>
    <row r="238" spans="1:9" ht="12.75" customHeight="1">
      <c r="A238" s="25" t="s">
        <v>182</v>
      </c>
      <c r="B238" s="22">
        <v>2003</v>
      </c>
      <c r="C238" s="56" t="s">
        <v>468</v>
      </c>
      <c r="D238" s="75" t="s">
        <v>317</v>
      </c>
      <c r="E238" s="252"/>
      <c r="F238" s="255"/>
      <c r="G238" s="83"/>
      <c r="H238" s="126"/>
      <c r="I238" s="21"/>
    </row>
    <row r="239" spans="1:9" s="24" customFormat="1" ht="12.75" customHeight="1">
      <c r="A239" s="25" t="s">
        <v>182</v>
      </c>
      <c r="B239" s="22">
        <v>2003</v>
      </c>
      <c r="C239" s="55" t="s">
        <v>729</v>
      </c>
      <c r="D239" s="265" t="s">
        <v>388</v>
      </c>
      <c r="E239" s="267"/>
      <c r="F239" s="292"/>
      <c r="G239" s="104"/>
      <c r="H239" s="135"/>
      <c r="I239" s="293"/>
    </row>
    <row r="240" spans="1:9" s="62" customFormat="1" ht="12.75" customHeight="1">
      <c r="A240" s="25" t="s">
        <v>182</v>
      </c>
      <c r="B240" s="22">
        <v>2003</v>
      </c>
      <c r="C240" s="55" t="s">
        <v>480</v>
      </c>
      <c r="D240" s="75" t="s">
        <v>389</v>
      </c>
      <c r="E240" s="253"/>
      <c r="F240" s="255">
        <v>0.01509748</v>
      </c>
      <c r="G240" s="83" t="s">
        <v>10</v>
      </c>
      <c r="H240" s="125">
        <f>29.83</f>
        <v>29.83</v>
      </c>
      <c r="I240" s="69">
        <f>$H240/$F240</f>
        <v>1975.8264293113816</v>
      </c>
    </row>
    <row r="241" spans="1:9" s="24" customFormat="1" ht="12.75" customHeight="1">
      <c r="A241" s="25" t="s">
        <v>182</v>
      </c>
      <c r="B241" s="22">
        <v>2003</v>
      </c>
      <c r="C241" s="55" t="s">
        <v>209</v>
      </c>
      <c r="D241" s="10" t="s">
        <v>390</v>
      </c>
      <c r="E241" s="253"/>
      <c r="F241" s="75"/>
      <c r="G241" s="83"/>
      <c r="H241" s="143"/>
      <c r="I241" s="25"/>
    </row>
    <row r="242" spans="1:9" s="24" customFormat="1" ht="12.75" customHeight="1">
      <c r="A242" s="25" t="s">
        <v>182</v>
      </c>
      <c r="B242" s="22">
        <v>2003</v>
      </c>
      <c r="C242" s="55" t="s">
        <v>23</v>
      </c>
      <c r="D242" s="75" t="s">
        <v>383</v>
      </c>
      <c r="E242" s="244"/>
      <c r="F242" s="40"/>
      <c r="G242" s="79"/>
      <c r="H242" s="123"/>
      <c r="I242" s="15"/>
    </row>
    <row r="243" spans="5:8" ht="12.75" customHeight="1">
      <c r="E243" s="10"/>
      <c r="H243" s="123"/>
    </row>
    <row r="244" spans="1:9" ht="12.75" customHeight="1">
      <c r="A244" s="25" t="s">
        <v>182</v>
      </c>
      <c r="B244" s="22">
        <v>2004</v>
      </c>
      <c r="C244" s="56" t="s">
        <v>468</v>
      </c>
      <c r="D244" s="75" t="s">
        <v>317</v>
      </c>
      <c r="E244" s="252"/>
      <c r="F244" s="255"/>
      <c r="G244" s="83"/>
      <c r="H244" s="126"/>
      <c r="I244" s="21"/>
    </row>
    <row r="245" spans="1:9" ht="12.75" customHeight="1">
      <c r="A245" s="25" t="s">
        <v>182</v>
      </c>
      <c r="B245" s="22">
        <v>2004</v>
      </c>
      <c r="C245" s="55" t="s">
        <v>729</v>
      </c>
      <c r="D245" s="265" t="s">
        <v>388</v>
      </c>
      <c r="E245" s="267"/>
      <c r="F245" s="292"/>
      <c r="G245" s="104"/>
      <c r="H245" s="135"/>
      <c r="I245" s="293"/>
    </row>
    <row r="246" spans="1:9" ht="12.75" customHeight="1">
      <c r="A246" s="25" t="s">
        <v>182</v>
      </c>
      <c r="B246" s="22">
        <v>2004</v>
      </c>
      <c r="C246" s="55" t="s">
        <v>480</v>
      </c>
      <c r="D246" s="75" t="s">
        <v>389</v>
      </c>
      <c r="E246" s="253"/>
      <c r="F246" s="255">
        <v>0.3473155493333333</v>
      </c>
      <c r="G246" s="83" t="s">
        <v>10</v>
      </c>
      <c r="H246" s="125">
        <v>834.912462</v>
      </c>
      <c r="I246" s="69">
        <f>$H246/$F246</f>
        <v>2403.9017648435297</v>
      </c>
    </row>
    <row r="247" spans="1:9" ht="12.75" customHeight="1">
      <c r="A247" s="25" t="s">
        <v>182</v>
      </c>
      <c r="B247" s="22">
        <v>2004</v>
      </c>
      <c r="C247" s="55" t="s">
        <v>209</v>
      </c>
      <c r="D247" s="10" t="s">
        <v>390</v>
      </c>
      <c r="E247" s="253"/>
      <c r="F247" s="75"/>
      <c r="G247" s="83"/>
      <c r="H247" s="143"/>
      <c r="I247" s="25"/>
    </row>
    <row r="248" spans="1:8" ht="12.75" customHeight="1">
      <c r="A248" s="25" t="s">
        <v>182</v>
      </c>
      <c r="B248" s="22">
        <v>2004</v>
      </c>
      <c r="C248" s="55" t="s">
        <v>23</v>
      </c>
      <c r="D248" s="75" t="s">
        <v>383</v>
      </c>
      <c r="E248" s="244"/>
      <c r="H248" s="123"/>
    </row>
    <row r="249" spans="5:8" ht="12.75" customHeight="1">
      <c r="E249" s="10"/>
      <c r="H249" s="123"/>
    </row>
    <row r="250" spans="1:9" ht="12.75" customHeight="1">
      <c r="A250" s="8" t="s">
        <v>67</v>
      </c>
      <c r="B250" s="5">
        <v>2004</v>
      </c>
      <c r="C250" s="3"/>
      <c r="D250" s="11" t="s">
        <v>482</v>
      </c>
      <c r="E250" s="11"/>
      <c r="F250" s="35">
        <v>0.004</v>
      </c>
      <c r="G250" s="87" t="s">
        <v>10</v>
      </c>
      <c r="H250" s="138">
        <v>8.177</v>
      </c>
      <c r="I250" s="14">
        <f>$H250/$F250</f>
        <v>2044.2499999999998</v>
      </c>
    </row>
    <row r="251" ht="12.75" customHeight="1">
      <c r="H251" s="123"/>
    </row>
    <row r="252" spans="1:12" ht="12.75" customHeight="1">
      <c r="A252" s="58" t="s">
        <v>93</v>
      </c>
      <c r="B252" s="270">
        <v>2004</v>
      </c>
      <c r="C252" s="20" t="s">
        <v>467</v>
      </c>
      <c r="D252" s="230" t="s">
        <v>315</v>
      </c>
      <c r="E252" s="230"/>
      <c r="F252" s="284">
        <v>0</v>
      </c>
      <c r="G252" s="273" t="s">
        <v>10</v>
      </c>
      <c r="H252" s="123">
        <v>2370</v>
      </c>
      <c r="I252" s="285" t="s">
        <v>71</v>
      </c>
      <c r="L252" s="60"/>
    </row>
    <row r="253" spans="1:12" ht="12.75" customHeight="1">
      <c r="A253" s="58" t="s">
        <v>93</v>
      </c>
      <c r="B253" s="270">
        <v>2004</v>
      </c>
      <c r="C253" s="20" t="s">
        <v>467</v>
      </c>
      <c r="D253" s="230" t="s">
        <v>354</v>
      </c>
      <c r="E253" s="230"/>
      <c r="F253" s="284">
        <v>0</v>
      </c>
      <c r="G253" s="273" t="s">
        <v>10</v>
      </c>
      <c r="H253" s="123">
        <v>2370</v>
      </c>
      <c r="I253" s="285" t="s">
        <v>71</v>
      </c>
      <c r="L253" s="60"/>
    </row>
    <row r="254" spans="1:12" ht="12.75" customHeight="1">
      <c r="A254" s="58" t="s">
        <v>93</v>
      </c>
      <c r="B254" s="270">
        <v>2004</v>
      </c>
      <c r="C254" s="20" t="s">
        <v>14</v>
      </c>
      <c r="D254" s="230" t="s">
        <v>345</v>
      </c>
      <c r="E254" s="230"/>
      <c r="F254" s="284">
        <v>0</v>
      </c>
      <c r="G254" s="273" t="s">
        <v>10</v>
      </c>
      <c r="H254" s="123">
        <v>2370</v>
      </c>
      <c r="I254" s="285" t="s">
        <v>71</v>
      </c>
      <c r="L254" s="60"/>
    </row>
  </sheetData>
  <mergeCells count="51">
    <mergeCell ref="F199:F203"/>
    <mergeCell ref="G199:G203"/>
    <mergeCell ref="H199:H203"/>
    <mergeCell ref="I199:I203"/>
    <mergeCell ref="F41:F42"/>
    <mergeCell ref="I41:I42"/>
    <mergeCell ref="F123:F125"/>
    <mergeCell ref="F193:F197"/>
    <mergeCell ref="G193:G197"/>
    <mergeCell ref="H193:H197"/>
    <mergeCell ref="I193:I197"/>
    <mergeCell ref="I110:I112"/>
    <mergeCell ref="F64:F66"/>
    <mergeCell ref="I64:I66"/>
    <mergeCell ref="H38:H39"/>
    <mergeCell ref="H41:H42"/>
    <mergeCell ref="H115:H117"/>
    <mergeCell ref="H123:H125"/>
    <mergeCell ref="H64:H66"/>
    <mergeCell ref="F101:F108"/>
    <mergeCell ref="H101:H108"/>
    <mergeCell ref="I101:I108"/>
    <mergeCell ref="F76:F78"/>
    <mergeCell ref="H76:H78"/>
    <mergeCell ref="I76:I78"/>
    <mergeCell ref="I123:I125"/>
    <mergeCell ref="F115:F117"/>
    <mergeCell ref="I115:I117"/>
    <mergeCell ref="F38:F39"/>
    <mergeCell ref="F95:F97"/>
    <mergeCell ref="H95:H97"/>
    <mergeCell ref="I38:I39"/>
    <mergeCell ref="I95:I97"/>
    <mergeCell ref="F110:F112"/>
    <mergeCell ref="H110:H112"/>
    <mergeCell ref="F47:F48"/>
    <mergeCell ref="H47:H48"/>
    <mergeCell ref="I47:I48"/>
    <mergeCell ref="F50:F52"/>
    <mergeCell ref="G50:G52"/>
    <mergeCell ref="H50:H52"/>
    <mergeCell ref="I50:I52"/>
    <mergeCell ref="I58:I62"/>
    <mergeCell ref="F58:F62"/>
    <mergeCell ref="H58:H62"/>
    <mergeCell ref="F86:F93"/>
    <mergeCell ref="H86:H93"/>
    <mergeCell ref="I86:I93"/>
    <mergeCell ref="F70:F74"/>
    <mergeCell ref="H70:H74"/>
    <mergeCell ref="I70:I74"/>
  </mergeCells>
  <printOptions horizontalCentered="1"/>
  <pageMargins left="0.5905511811023623" right="0.5905511811023623" top="0.7874015748031497" bottom="0.5905511811023623" header="0.5118110236220472" footer="0.5118110236220472"/>
  <pageSetup fitToHeight="25" horizontalDpi="600" verticalDpi="600" orientation="portrait" paperSize="9" scale="92" r:id="rId3"/>
  <rowBreaks count="4" manualBreakCount="4">
    <brk id="68" max="8" man="1"/>
    <brk id="131" max="8" man="1"/>
    <brk id="185" max="8" man="1"/>
    <brk id="23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2"/>
  <sheetViews>
    <sheetView view="pageBreakPreview" zoomScale="115" zoomScaleNormal="90" zoomScaleSheetLayoutView="115" workbookViewId="0" topLeftCell="A1">
      <selection activeCell="C11" sqref="C11"/>
    </sheetView>
  </sheetViews>
  <sheetFormatPr defaultColWidth="9.140625" defaultRowHeight="12.75"/>
  <cols>
    <col min="1" max="1" width="17.28125" style="1" customWidth="1"/>
    <col min="2" max="2" width="5.8515625" style="5" customWidth="1"/>
    <col min="3" max="3" width="29.00390625" style="3" customWidth="1"/>
    <col min="4" max="4" width="24.140625" style="11" customWidth="1"/>
    <col min="5" max="5" width="1.7109375" style="11" customWidth="1"/>
    <col min="6" max="6" width="8.7109375" style="35" customWidth="1"/>
    <col min="7" max="7" width="3.140625" style="86" customWidth="1"/>
    <col min="8" max="8" width="8.7109375" style="14" hidden="1" customWidth="1"/>
    <col min="9" max="9" width="8.7109375" style="14" customWidth="1"/>
    <col min="10" max="10" width="15.28125" style="1" customWidth="1"/>
    <col min="11" max="11" width="9.28125" style="1" bestFit="1" customWidth="1"/>
    <col min="12" max="12" width="9.7109375" style="1" bestFit="1" customWidth="1"/>
    <col min="13" max="13" width="9.28125" style="1" bestFit="1" customWidth="1"/>
    <col min="14" max="14" width="9.7109375" style="1" bestFit="1" customWidth="1"/>
    <col min="15" max="16384" width="9.140625" style="1" customWidth="1"/>
  </cols>
  <sheetData>
    <row r="1" spans="1:9" s="58" customFormat="1" ht="19.5" customHeight="1">
      <c r="A1" s="108" t="s">
        <v>36</v>
      </c>
      <c r="B1" s="108"/>
      <c r="C1" s="108"/>
      <c r="D1" s="108"/>
      <c r="E1" s="108"/>
      <c r="F1" s="108"/>
      <c r="G1" s="115"/>
      <c r="H1" s="129"/>
      <c r="I1" s="108"/>
    </row>
    <row r="2" spans="1:9" ht="15.75">
      <c r="A2" s="6" t="s">
        <v>0</v>
      </c>
      <c r="B2" s="32" t="s">
        <v>31</v>
      </c>
      <c r="C2" s="6" t="s">
        <v>29</v>
      </c>
      <c r="D2" s="6" t="s">
        <v>41</v>
      </c>
      <c r="E2" s="6"/>
      <c r="F2" s="12" t="s">
        <v>1</v>
      </c>
      <c r="G2" s="117"/>
      <c r="H2" s="136" t="s">
        <v>2</v>
      </c>
      <c r="I2" s="12" t="s">
        <v>2</v>
      </c>
    </row>
    <row r="3" spans="1:9" ht="15.75">
      <c r="A3" s="7"/>
      <c r="B3" s="30"/>
      <c r="C3" s="7" t="s">
        <v>28</v>
      </c>
      <c r="D3" s="7"/>
      <c r="E3" s="7"/>
      <c r="F3" s="13" t="s">
        <v>91</v>
      </c>
      <c r="G3" s="114"/>
      <c r="H3" s="131" t="s">
        <v>92</v>
      </c>
      <c r="I3" s="13" t="s">
        <v>92</v>
      </c>
    </row>
    <row r="4" spans="1:9" ht="3" customHeight="1">
      <c r="A4" s="8"/>
      <c r="B4" s="22"/>
      <c r="C4" s="8"/>
      <c r="D4" s="8"/>
      <c r="E4" s="8"/>
      <c r="F4" s="18"/>
      <c r="G4" s="79"/>
      <c r="H4" s="130"/>
      <c r="I4" s="18"/>
    </row>
    <row r="5" spans="1:9" ht="12.75" customHeight="1">
      <c r="A5" s="8" t="s">
        <v>562</v>
      </c>
      <c r="B5" s="22">
        <v>2003</v>
      </c>
      <c r="C5" s="22" t="s">
        <v>592</v>
      </c>
      <c r="D5" s="8" t="s">
        <v>42</v>
      </c>
      <c r="E5" s="8"/>
      <c r="F5" s="19">
        <v>149</v>
      </c>
      <c r="G5" s="79"/>
      <c r="H5" s="120">
        <v>9827.872385982442</v>
      </c>
      <c r="I5" s="46">
        <f aca="true" t="shared" si="0" ref="I5:I21">$H5/$F5</f>
        <v>65.95887507370766</v>
      </c>
    </row>
    <row r="6" spans="1:9" ht="12.75" customHeight="1">
      <c r="A6" s="8" t="s">
        <v>562</v>
      </c>
      <c r="B6" s="22">
        <v>2003</v>
      </c>
      <c r="C6" s="22" t="s">
        <v>584</v>
      </c>
      <c r="D6" s="8"/>
      <c r="E6" s="8"/>
      <c r="F6" s="19">
        <v>22</v>
      </c>
      <c r="G6" s="79"/>
      <c r="H6" s="120">
        <v>6151.000642352437</v>
      </c>
      <c r="I6" s="46">
        <f t="shared" si="0"/>
        <v>279.59093828874717</v>
      </c>
    </row>
    <row r="7" spans="1:9" ht="12.75" customHeight="1">
      <c r="A7" s="8" t="s">
        <v>562</v>
      </c>
      <c r="B7" s="22">
        <v>2003</v>
      </c>
      <c r="C7" s="22" t="s">
        <v>585</v>
      </c>
      <c r="D7" s="8"/>
      <c r="E7" s="8"/>
      <c r="F7" s="19">
        <v>20</v>
      </c>
      <c r="G7" s="79"/>
      <c r="H7" s="120">
        <v>5355.352223253158</v>
      </c>
      <c r="I7" s="46">
        <f t="shared" si="0"/>
        <v>267.7676111626579</v>
      </c>
    </row>
    <row r="8" spans="1:9" ht="12.75" customHeight="1">
      <c r="A8" s="8" t="s">
        <v>562</v>
      </c>
      <c r="B8" s="22">
        <v>2003</v>
      </c>
      <c r="C8" s="22" t="s">
        <v>173</v>
      </c>
      <c r="D8" s="8"/>
      <c r="E8" s="8"/>
      <c r="F8" s="19">
        <v>16</v>
      </c>
      <c r="G8" s="79"/>
      <c r="H8" s="120">
        <v>3888.6803226036686</v>
      </c>
      <c r="I8" s="46">
        <f t="shared" si="0"/>
        <v>243.0425201627293</v>
      </c>
    </row>
    <row r="9" spans="1:9" ht="12.75" customHeight="1">
      <c r="A9" s="8" t="s">
        <v>562</v>
      </c>
      <c r="B9" s="22">
        <v>2003</v>
      </c>
      <c r="C9" s="22" t="s">
        <v>583</v>
      </c>
      <c r="D9" s="8"/>
      <c r="E9" s="8"/>
      <c r="F9" s="19">
        <v>7</v>
      </c>
      <c r="G9" s="79"/>
      <c r="H9" s="120">
        <v>2119.6574120334026</v>
      </c>
      <c r="I9" s="46">
        <f t="shared" si="0"/>
        <v>302.80820171905754</v>
      </c>
    </row>
    <row r="10" spans="1:9" ht="12.75" customHeight="1">
      <c r="A10" s="8" t="s">
        <v>562</v>
      </c>
      <c r="B10" s="22">
        <v>2003</v>
      </c>
      <c r="C10" s="22" t="s">
        <v>588</v>
      </c>
      <c r="D10" s="8"/>
      <c r="E10" s="8"/>
      <c r="F10" s="19">
        <v>7</v>
      </c>
      <c r="G10" s="79"/>
      <c r="H10" s="120">
        <v>3289.674541431732</v>
      </c>
      <c r="I10" s="46">
        <f t="shared" si="0"/>
        <v>469.95350591881885</v>
      </c>
    </row>
    <row r="11" spans="1:9" ht="12.75" customHeight="1">
      <c r="A11" s="8" t="s">
        <v>562</v>
      </c>
      <c r="B11" s="22">
        <v>2003</v>
      </c>
      <c r="C11" s="22" t="s">
        <v>164</v>
      </c>
      <c r="D11" s="1"/>
      <c r="E11" s="8"/>
      <c r="F11" s="19">
        <v>6</v>
      </c>
      <c r="G11" s="79"/>
      <c r="H11" s="120">
        <v>2100.476768253515</v>
      </c>
      <c r="I11" s="46">
        <f t="shared" si="0"/>
        <v>350.0794613755858</v>
      </c>
    </row>
    <row r="12" spans="1:9" ht="12.75" customHeight="1">
      <c r="A12" s="8" t="s">
        <v>562</v>
      </c>
      <c r="B12" s="22">
        <v>2003</v>
      </c>
      <c r="C12" s="22" t="s">
        <v>589</v>
      </c>
      <c r="D12" s="8"/>
      <c r="E12" s="8"/>
      <c r="F12" s="19">
        <v>3</v>
      </c>
      <c r="G12" s="79"/>
      <c r="H12" s="120">
        <v>892.4866176575548</v>
      </c>
      <c r="I12" s="46">
        <f t="shared" si="0"/>
        <v>297.49553921918493</v>
      </c>
    </row>
    <row r="13" spans="1:9" ht="12.75" customHeight="1">
      <c r="A13" s="8" t="s">
        <v>562</v>
      </c>
      <c r="B13" s="22">
        <v>2003</v>
      </c>
      <c r="C13" s="22" t="s">
        <v>582</v>
      </c>
      <c r="D13" s="8"/>
      <c r="E13" s="8"/>
      <c r="F13" s="19">
        <v>1</v>
      </c>
      <c r="G13" s="79"/>
      <c r="H13" s="120">
        <v>541.8178573977589</v>
      </c>
      <c r="I13" s="46">
        <f t="shared" si="0"/>
        <v>541.8178573977589</v>
      </c>
    </row>
    <row r="14" spans="1:9" ht="12.75" customHeight="1">
      <c r="A14" s="8" t="s">
        <v>562</v>
      </c>
      <c r="B14" s="22">
        <v>2003</v>
      </c>
      <c r="C14" s="22" t="s">
        <v>171</v>
      </c>
      <c r="D14" s="8"/>
      <c r="E14" s="8"/>
      <c r="F14" s="19">
        <v>0.82</v>
      </c>
      <c r="G14" s="79"/>
      <c r="H14" s="120">
        <v>251.11912069088572</v>
      </c>
      <c r="I14" s="46">
        <f t="shared" si="0"/>
        <v>306.2428301108363</v>
      </c>
    </row>
    <row r="15" spans="1:9" ht="12.75" customHeight="1">
      <c r="A15" s="8" t="s">
        <v>562</v>
      </c>
      <c r="B15" s="22">
        <v>2003</v>
      </c>
      <c r="C15" s="22" t="s">
        <v>170</v>
      </c>
      <c r="D15" s="8"/>
      <c r="E15" s="8"/>
      <c r="F15" s="19">
        <v>0.559</v>
      </c>
      <c r="G15" s="79"/>
      <c r="H15" s="120">
        <v>280.7008778816644</v>
      </c>
      <c r="I15" s="46">
        <f t="shared" si="0"/>
        <v>502.1482609689881</v>
      </c>
    </row>
    <row r="16" spans="1:9" ht="12.75" customHeight="1">
      <c r="A16" s="8" t="s">
        <v>562</v>
      </c>
      <c r="B16" s="22">
        <v>2003</v>
      </c>
      <c r="C16" s="22" t="s">
        <v>172</v>
      </c>
      <c r="D16" s="8"/>
      <c r="E16" s="8"/>
      <c r="F16" s="19">
        <v>0.291</v>
      </c>
      <c r="G16" s="79" t="s">
        <v>10</v>
      </c>
      <c r="H16" s="120">
        <v>105.98815216615516</v>
      </c>
      <c r="I16" s="46">
        <f t="shared" si="0"/>
        <v>364.2204541792274</v>
      </c>
    </row>
    <row r="17" spans="1:9" ht="12.75" customHeight="1">
      <c r="A17" s="8" t="s">
        <v>562</v>
      </c>
      <c r="B17" s="22">
        <v>2003</v>
      </c>
      <c r="C17" s="22" t="s">
        <v>169</v>
      </c>
      <c r="D17" s="8"/>
      <c r="E17" s="8"/>
      <c r="F17" s="19">
        <v>0.075</v>
      </c>
      <c r="G17" s="79" t="s">
        <v>10</v>
      </c>
      <c r="H17" s="120">
        <v>35.447148668903004</v>
      </c>
      <c r="I17" s="46">
        <f t="shared" si="0"/>
        <v>472.62864891870674</v>
      </c>
    </row>
    <row r="18" spans="1:9" ht="12.75" customHeight="1">
      <c r="A18" s="8" t="s">
        <v>562</v>
      </c>
      <c r="B18" s="22">
        <v>2003</v>
      </c>
      <c r="C18" s="22" t="s">
        <v>590</v>
      </c>
      <c r="D18" s="8"/>
      <c r="E18" s="8"/>
      <c r="F18" s="19">
        <v>0.052</v>
      </c>
      <c r="G18" s="79" t="s">
        <v>10</v>
      </c>
      <c r="H18" s="120">
        <v>9.390478909428307</v>
      </c>
      <c r="I18" s="46">
        <f t="shared" si="0"/>
        <v>180.5861328736213</v>
      </c>
    </row>
    <row r="19" spans="1:9" ht="12.75" customHeight="1">
      <c r="A19" s="8" t="s">
        <v>562</v>
      </c>
      <c r="B19" s="22">
        <v>2003</v>
      </c>
      <c r="C19" s="22" t="s">
        <v>586</v>
      </c>
      <c r="D19" s="8"/>
      <c r="E19" s="8"/>
      <c r="F19" s="19">
        <v>0.045</v>
      </c>
      <c r="G19" s="79" t="s">
        <v>10</v>
      </c>
      <c r="H19" s="120">
        <v>21.560202697880236</v>
      </c>
      <c r="I19" s="46">
        <f t="shared" si="0"/>
        <v>479.1156155084497</v>
      </c>
    </row>
    <row r="20" spans="1:9" ht="12.75" customHeight="1">
      <c r="A20" s="8" t="s">
        <v>562</v>
      </c>
      <c r="B20" s="22">
        <v>2003</v>
      </c>
      <c r="C20" s="22" t="s">
        <v>587</v>
      </c>
      <c r="D20" s="8"/>
      <c r="E20" s="8"/>
      <c r="F20" s="19">
        <v>0.039</v>
      </c>
      <c r="G20" s="79" t="s">
        <v>10</v>
      </c>
      <c r="H20" s="120">
        <v>24.87545499964314</v>
      </c>
      <c r="I20" s="46">
        <f t="shared" si="0"/>
        <v>637.8321794780292</v>
      </c>
    </row>
    <row r="21" spans="1:9" ht="12.75" customHeight="1">
      <c r="A21" s="8" t="s">
        <v>562</v>
      </c>
      <c r="B21" s="22">
        <v>2003</v>
      </c>
      <c r="C21" s="22" t="s">
        <v>591</v>
      </c>
      <c r="D21" s="8"/>
      <c r="E21" s="8"/>
      <c r="F21" s="19">
        <v>0.006</v>
      </c>
      <c r="G21" s="79" t="s">
        <v>10</v>
      </c>
      <c r="H21" s="120">
        <v>1.9877239311969168</v>
      </c>
      <c r="I21" s="46">
        <f t="shared" si="0"/>
        <v>331.2873218661528</v>
      </c>
    </row>
    <row r="22" spans="1:9" ht="12.75" customHeight="1">
      <c r="A22" s="8"/>
      <c r="B22" s="22"/>
      <c r="C22" s="8"/>
      <c r="D22" s="8"/>
      <c r="E22" s="8"/>
      <c r="F22" s="19"/>
      <c r="G22" s="79"/>
      <c r="H22" s="120"/>
      <c r="I22" s="69"/>
    </row>
    <row r="23" spans="1:9" ht="12.75" customHeight="1">
      <c r="A23" s="8" t="s">
        <v>562</v>
      </c>
      <c r="B23" s="22">
        <v>2004</v>
      </c>
      <c r="C23" s="8" t="s">
        <v>584</v>
      </c>
      <c r="D23" s="8" t="s">
        <v>42</v>
      </c>
      <c r="E23" s="8"/>
      <c r="F23" s="19">
        <v>50</v>
      </c>
      <c r="G23" s="79"/>
      <c r="H23" s="120">
        <v>12036.88931591084</v>
      </c>
      <c r="I23" s="46">
        <f aca="true" t="shared" si="1" ref="I23:I31">$H23/$F23</f>
        <v>240.7377863182168</v>
      </c>
    </row>
    <row r="24" spans="1:9" ht="12.75" customHeight="1">
      <c r="A24" s="8" t="s">
        <v>562</v>
      </c>
      <c r="B24" s="22">
        <v>2004</v>
      </c>
      <c r="C24" s="8" t="s">
        <v>592</v>
      </c>
      <c r="D24" s="1"/>
      <c r="E24" s="8"/>
      <c r="F24" s="29">
        <f>63/10</f>
        <v>6.3</v>
      </c>
      <c r="G24" s="101"/>
      <c r="H24" s="124">
        <v>3807.0676402767103</v>
      </c>
      <c r="I24" s="46">
        <f>$H24/$F24</f>
        <v>604.296450837573</v>
      </c>
    </row>
    <row r="25" spans="1:9" ht="12.75" customHeight="1">
      <c r="A25" s="8" t="s">
        <v>562</v>
      </c>
      <c r="B25" s="22">
        <v>2004</v>
      </c>
      <c r="C25" s="8" t="s">
        <v>164</v>
      </c>
      <c r="D25" s="1"/>
      <c r="E25" s="8"/>
      <c r="F25" s="19">
        <v>5</v>
      </c>
      <c r="G25" s="79"/>
      <c r="H25" s="120">
        <v>1907.6694850115296</v>
      </c>
      <c r="I25" s="46">
        <f t="shared" si="1"/>
        <v>381.53389700230593</v>
      </c>
    </row>
    <row r="26" spans="1:9" ht="12.75" customHeight="1">
      <c r="A26" s="8" t="s">
        <v>562</v>
      </c>
      <c r="B26" s="22">
        <v>2004</v>
      </c>
      <c r="C26" s="8" t="s">
        <v>589</v>
      </c>
      <c r="D26" s="8"/>
      <c r="E26" s="8"/>
      <c r="F26" s="19">
        <v>4</v>
      </c>
      <c r="G26" s="79"/>
      <c r="H26" s="120">
        <v>1088.2436587240584</v>
      </c>
      <c r="I26" s="46">
        <f t="shared" si="1"/>
        <v>272.0609146810146</v>
      </c>
    </row>
    <row r="27" spans="1:9" ht="12.75" customHeight="1">
      <c r="A27" s="8" t="s">
        <v>562</v>
      </c>
      <c r="B27" s="22">
        <v>2004</v>
      </c>
      <c r="C27" s="8" t="s">
        <v>171</v>
      </c>
      <c r="D27" s="8"/>
      <c r="E27" s="8"/>
      <c r="F27" s="19">
        <v>2</v>
      </c>
      <c r="G27" s="79"/>
      <c r="H27" s="120">
        <v>595.5664873174481</v>
      </c>
      <c r="I27" s="46">
        <f t="shared" si="1"/>
        <v>297.7832436587241</v>
      </c>
    </row>
    <row r="28" spans="1:9" ht="12.75" customHeight="1">
      <c r="A28" s="8" t="s">
        <v>562</v>
      </c>
      <c r="B28" s="22">
        <v>2004</v>
      </c>
      <c r="C28" s="8" t="s">
        <v>582</v>
      </c>
      <c r="D28" s="8"/>
      <c r="E28" s="8"/>
      <c r="F28" s="19">
        <v>0.795</v>
      </c>
      <c r="G28" s="79"/>
      <c r="H28" s="120">
        <v>349.706379707917</v>
      </c>
      <c r="I28" s="46">
        <f t="shared" si="1"/>
        <v>439.88223862631065</v>
      </c>
    </row>
    <row r="29" spans="1:9" ht="12.75" customHeight="1">
      <c r="A29" s="8" t="s">
        <v>562</v>
      </c>
      <c r="B29" s="22">
        <v>2004</v>
      </c>
      <c r="C29" s="8" t="s">
        <v>172</v>
      </c>
      <c r="D29" s="8"/>
      <c r="E29" s="8"/>
      <c r="F29" s="19">
        <v>0.213</v>
      </c>
      <c r="G29" s="79" t="s">
        <v>10</v>
      </c>
      <c r="H29" s="120">
        <v>114.0630284396618</v>
      </c>
      <c r="I29" s="46">
        <f t="shared" si="1"/>
        <v>535.5071757730601</v>
      </c>
    </row>
    <row r="30" spans="1:9" ht="12.75" customHeight="1">
      <c r="A30" s="8" t="s">
        <v>562</v>
      </c>
      <c r="B30" s="22">
        <v>2004</v>
      </c>
      <c r="C30" s="8" t="s">
        <v>587</v>
      </c>
      <c r="D30" s="8"/>
      <c r="E30" s="8"/>
      <c r="F30" s="19">
        <v>0.099</v>
      </c>
      <c r="G30" s="79" t="s">
        <v>10</v>
      </c>
      <c r="H30" s="120">
        <v>50.774019984627216</v>
      </c>
      <c r="I30" s="46">
        <f t="shared" si="1"/>
        <v>512.8688887336082</v>
      </c>
    </row>
    <row r="31" spans="1:9" ht="12.75" customHeight="1">
      <c r="A31" s="8" t="s">
        <v>562</v>
      </c>
      <c r="B31" s="22">
        <v>2004</v>
      </c>
      <c r="C31" s="8" t="s">
        <v>590</v>
      </c>
      <c r="D31" s="8"/>
      <c r="E31" s="8"/>
      <c r="F31" s="19">
        <v>0.077</v>
      </c>
      <c r="G31" s="79" t="s">
        <v>10</v>
      </c>
      <c r="H31" s="120">
        <v>17.72098385857033</v>
      </c>
      <c r="I31" s="46">
        <f t="shared" si="1"/>
        <v>230.1426475139004</v>
      </c>
    </row>
    <row r="32" spans="1:9" ht="12.75" customHeight="1">
      <c r="A32" s="8"/>
      <c r="B32" s="22"/>
      <c r="C32" s="8"/>
      <c r="D32" s="8"/>
      <c r="E32" s="8"/>
      <c r="F32" s="19"/>
      <c r="G32" s="79"/>
      <c r="H32" s="130"/>
      <c r="I32" s="18"/>
    </row>
    <row r="33" spans="1:9" ht="12.75" customHeight="1">
      <c r="A33" s="8" t="s">
        <v>680</v>
      </c>
      <c r="B33" s="22">
        <v>2003</v>
      </c>
      <c r="C33" s="9" t="s">
        <v>6</v>
      </c>
      <c r="D33" s="10" t="s">
        <v>323</v>
      </c>
      <c r="E33" s="10"/>
      <c r="F33" s="42">
        <f>1.385/1000</f>
        <v>0.001385</v>
      </c>
      <c r="G33" s="79" t="s">
        <v>10</v>
      </c>
      <c r="H33" s="120">
        <v>677</v>
      </c>
      <c r="I33" s="46">
        <f aca="true" t="shared" si="2" ref="I33:I42">$H33/$F33/1000</f>
        <v>488.8086642599278</v>
      </c>
    </row>
    <row r="34" spans="1:9" ht="12.75" customHeight="1">
      <c r="A34" s="8" t="s">
        <v>680</v>
      </c>
      <c r="B34" s="22">
        <v>2003</v>
      </c>
      <c r="C34" s="9" t="s">
        <v>278</v>
      </c>
      <c r="D34" s="10" t="s">
        <v>316</v>
      </c>
      <c r="E34" s="10"/>
      <c r="F34" s="42">
        <f>2.485/1000</f>
        <v>0.002485</v>
      </c>
      <c r="G34" s="79" t="s">
        <v>10</v>
      </c>
      <c r="H34" s="120">
        <v>1453</v>
      </c>
      <c r="I34" s="46">
        <f t="shared" si="2"/>
        <v>584.7082494969819</v>
      </c>
    </row>
    <row r="35" spans="1:9" ht="12.75" customHeight="1">
      <c r="A35" s="8" t="s">
        <v>680</v>
      </c>
      <c r="B35" s="22">
        <v>2003</v>
      </c>
      <c r="C35" s="9" t="s">
        <v>9</v>
      </c>
      <c r="D35" s="10" t="s">
        <v>332</v>
      </c>
      <c r="E35" s="10"/>
      <c r="F35" s="42">
        <f>0.215/1000</f>
        <v>0.000215</v>
      </c>
      <c r="G35" s="79" t="s">
        <v>10</v>
      </c>
      <c r="H35" s="120">
        <v>680</v>
      </c>
      <c r="I35" s="46">
        <f t="shared" si="2"/>
        <v>3162.790697674419</v>
      </c>
    </row>
    <row r="36" spans="1:9" ht="12.75" customHeight="1">
      <c r="A36" s="8" t="s">
        <v>680</v>
      </c>
      <c r="B36" s="22">
        <v>2003</v>
      </c>
      <c r="C36" s="9" t="s">
        <v>471</v>
      </c>
      <c r="D36" s="10" t="s">
        <v>342</v>
      </c>
      <c r="E36" s="10"/>
      <c r="F36" s="42">
        <f>1.377/1000</f>
        <v>0.001377</v>
      </c>
      <c r="G36" s="79" t="s">
        <v>10</v>
      </c>
      <c r="H36" s="120">
        <v>806</v>
      </c>
      <c r="I36" s="46">
        <f t="shared" si="2"/>
        <v>585.3304284676834</v>
      </c>
    </row>
    <row r="37" spans="1:9" ht="12.75" customHeight="1">
      <c r="A37" s="8" t="s">
        <v>680</v>
      </c>
      <c r="B37" s="22">
        <v>2003</v>
      </c>
      <c r="C37" s="9" t="s">
        <v>279</v>
      </c>
      <c r="D37" s="10" t="s">
        <v>336</v>
      </c>
      <c r="E37" s="10"/>
      <c r="F37" s="42">
        <f>0.108/1000</f>
        <v>0.000108</v>
      </c>
      <c r="G37" s="79" t="s">
        <v>10</v>
      </c>
      <c r="H37" s="120">
        <v>215</v>
      </c>
      <c r="I37" s="46">
        <f t="shared" si="2"/>
        <v>1990.7407407407409</v>
      </c>
    </row>
    <row r="38" spans="1:9" ht="12.75" customHeight="1">
      <c r="A38" s="8" t="s">
        <v>680</v>
      </c>
      <c r="B38" s="22">
        <v>2003</v>
      </c>
      <c r="C38" s="9" t="s">
        <v>277</v>
      </c>
      <c r="D38" s="10" t="s">
        <v>318</v>
      </c>
      <c r="E38" s="10"/>
      <c r="F38" s="42">
        <f>0.001/1000</f>
        <v>1E-06</v>
      </c>
      <c r="G38" s="79" t="s">
        <v>10</v>
      </c>
      <c r="H38" s="120">
        <v>1</v>
      </c>
      <c r="I38" s="46">
        <f t="shared" si="2"/>
        <v>1000</v>
      </c>
    </row>
    <row r="39" spans="1:9" ht="12.75" customHeight="1">
      <c r="A39" s="8" t="s">
        <v>680</v>
      </c>
      <c r="B39" s="22">
        <v>2003</v>
      </c>
      <c r="C39" s="9" t="s">
        <v>467</v>
      </c>
      <c r="D39" s="10" t="s">
        <v>319</v>
      </c>
      <c r="E39" s="10"/>
      <c r="F39" s="42">
        <f>32.814/1000</f>
        <v>0.032814</v>
      </c>
      <c r="G39" s="79" t="s">
        <v>10</v>
      </c>
      <c r="H39" s="120">
        <v>14941</v>
      </c>
      <c r="I39" s="46">
        <f t="shared" si="2"/>
        <v>455.32394709575175</v>
      </c>
    </row>
    <row r="40" spans="1:9" ht="12.75" customHeight="1">
      <c r="A40" s="8" t="s">
        <v>680</v>
      </c>
      <c r="B40" s="22">
        <v>2003</v>
      </c>
      <c r="C40" s="9" t="s">
        <v>467</v>
      </c>
      <c r="D40" s="10" t="s">
        <v>313</v>
      </c>
      <c r="E40" s="10"/>
      <c r="F40" s="42">
        <f>8.455/1000</f>
        <v>0.008455</v>
      </c>
      <c r="G40" s="79" t="s">
        <v>10</v>
      </c>
      <c r="H40" s="120">
        <v>4947</v>
      </c>
      <c r="I40" s="46">
        <f t="shared" si="2"/>
        <v>585.097575399172</v>
      </c>
    </row>
    <row r="41" spans="1:9" ht="12.75" customHeight="1">
      <c r="A41" s="8" t="s">
        <v>680</v>
      </c>
      <c r="B41" s="22">
        <v>2003</v>
      </c>
      <c r="C41" s="9" t="s">
        <v>467</v>
      </c>
      <c r="D41" s="10" t="s">
        <v>315</v>
      </c>
      <c r="E41" s="10"/>
      <c r="F41" s="42">
        <f>7.159/1000</f>
        <v>0.0071589999999999996</v>
      </c>
      <c r="G41" s="79" t="s">
        <v>10</v>
      </c>
      <c r="H41" s="120">
        <v>9193</v>
      </c>
      <c r="I41" s="46">
        <f t="shared" si="2"/>
        <v>1284.1178935605533</v>
      </c>
    </row>
    <row r="42" spans="1:9" ht="12.75" customHeight="1">
      <c r="A42" s="8" t="s">
        <v>680</v>
      </c>
      <c r="B42" s="22">
        <v>2003</v>
      </c>
      <c r="C42" s="9" t="s">
        <v>7</v>
      </c>
      <c r="D42" s="10" t="s">
        <v>321</v>
      </c>
      <c r="E42" s="10"/>
      <c r="F42" s="42">
        <f>22.882/1000</f>
        <v>0.022882000000000003</v>
      </c>
      <c r="G42" s="79" t="s">
        <v>10</v>
      </c>
      <c r="H42" s="120">
        <v>4462</v>
      </c>
      <c r="I42" s="46">
        <f t="shared" si="2"/>
        <v>195.0004370247356</v>
      </c>
    </row>
    <row r="43" spans="1:9" ht="12.75" customHeight="1">
      <c r="A43" s="8"/>
      <c r="B43" s="22"/>
      <c r="C43" s="8"/>
      <c r="D43" s="8"/>
      <c r="E43" s="8"/>
      <c r="F43" s="19"/>
      <c r="G43" s="79"/>
      <c r="H43" s="120"/>
      <c r="I43" s="19"/>
    </row>
    <row r="44" spans="1:8" ht="12.75" customHeight="1">
      <c r="A44" s="41" t="s">
        <v>30</v>
      </c>
      <c r="B44" s="33"/>
      <c r="C44" s="4"/>
      <c r="D44" s="1"/>
      <c r="E44" s="1"/>
      <c r="F44" s="14"/>
      <c r="H44" s="138"/>
    </row>
    <row r="45" spans="1:9" s="175" customFormat="1" ht="3" customHeight="1">
      <c r="A45" s="212"/>
      <c r="B45" s="157"/>
      <c r="C45" s="185"/>
      <c r="E45" s="165"/>
      <c r="F45" s="220"/>
      <c r="G45" s="160"/>
      <c r="H45" s="221"/>
      <c r="I45" s="222"/>
    </row>
    <row r="46" spans="1:9" ht="12.75" customHeight="1">
      <c r="A46" s="50" t="s">
        <v>88</v>
      </c>
      <c r="B46" s="5">
        <v>2003</v>
      </c>
      <c r="C46" s="55" t="s">
        <v>3</v>
      </c>
      <c r="D46" s="11" t="s">
        <v>325</v>
      </c>
      <c r="E46" s="327"/>
      <c r="F46" s="352">
        <f>116.673/10</f>
        <v>11.667300000000001</v>
      </c>
      <c r="H46" s="355">
        <f>25.245*1000/6.588</f>
        <v>3831.967213114754</v>
      </c>
      <c r="I46" s="350">
        <f>$H46/$F46</f>
        <v>328.4365031425226</v>
      </c>
    </row>
    <row r="47" spans="1:9" ht="12.75" customHeight="1">
      <c r="A47" s="50" t="s">
        <v>88</v>
      </c>
      <c r="B47" s="5">
        <v>2003</v>
      </c>
      <c r="C47" s="55" t="s">
        <v>9</v>
      </c>
      <c r="D47" s="11" t="s">
        <v>332</v>
      </c>
      <c r="E47" s="328"/>
      <c r="F47" s="352"/>
      <c r="H47" s="355"/>
      <c r="I47" s="350"/>
    </row>
    <row r="48" spans="1:9" ht="12.75" customHeight="1">
      <c r="A48" s="50" t="s">
        <v>88</v>
      </c>
      <c r="B48" s="5">
        <v>2003</v>
      </c>
      <c r="C48" s="55" t="s">
        <v>467</v>
      </c>
      <c r="D48" s="11" t="s">
        <v>366</v>
      </c>
      <c r="E48" s="328"/>
      <c r="F48" s="352"/>
      <c r="H48" s="355"/>
      <c r="I48" s="350"/>
    </row>
    <row r="49" spans="1:9" ht="12.75" customHeight="1">
      <c r="A49" s="50" t="s">
        <v>88</v>
      </c>
      <c r="B49" s="5">
        <v>2003</v>
      </c>
      <c r="C49" s="55" t="s">
        <v>467</v>
      </c>
      <c r="D49" s="11" t="s">
        <v>313</v>
      </c>
      <c r="E49" s="328"/>
      <c r="F49" s="352"/>
      <c r="H49" s="355"/>
      <c r="I49" s="350"/>
    </row>
    <row r="50" spans="1:9" ht="12.75" customHeight="1">
      <c r="A50" s="50" t="s">
        <v>88</v>
      </c>
      <c r="B50" s="5">
        <v>2003</v>
      </c>
      <c r="C50" s="55" t="s">
        <v>7</v>
      </c>
      <c r="D50" s="11" t="s">
        <v>375</v>
      </c>
      <c r="E50" s="328"/>
      <c r="F50" s="352"/>
      <c r="H50" s="355"/>
      <c r="I50" s="350"/>
    </row>
    <row r="51" spans="1:9" ht="12.75" customHeight="1">
      <c r="A51" s="50" t="s">
        <v>88</v>
      </c>
      <c r="B51" s="5">
        <v>2003</v>
      </c>
      <c r="C51" s="3" t="s">
        <v>284</v>
      </c>
      <c r="E51" s="329"/>
      <c r="F51" s="352"/>
      <c r="H51" s="355"/>
      <c r="I51" s="350"/>
    </row>
    <row r="52" spans="1:9" s="175" customFormat="1" ht="3" customHeight="1">
      <c r="A52" s="212"/>
      <c r="B52" s="157"/>
      <c r="C52" s="174"/>
      <c r="E52" s="237"/>
      <c r="F52" s="198"/>
      <c r="G52" s="160"/>
      <c r="H52" s="216"/>
      <c r="I52" s="195"/>
    </row>
    <row r="53" spans="1:9" ht="12.75" customHeight="1">
      <c r="A53" s="50" t="s">
        <v>88</v>
      </c>
      <c r="B53" s="5">
        <v>2003</v>
      </c>
      <c r="C53" s="55"/>
      <c r="D53" s="11" t="s">
        <v>482</v>
      </c>
      <c r="E53" s="10"/>
      <c r="F53" s="82">
        <v>40.216</v>
      </c>
      <c r="H53" s="127">
        <f>88.956*1000/6.588</f>
        <v>13502.732240437159</v>
      </c>
      <c r="I53" s="46">
        <f>$H53/$F53</f>
        <v>335.75522778091204</v>
      </c>
    </row>
    <row r="54" spans="1:9" ht="12.75" customHeight="1">
      <c r="A54" s="50"/>
      <c r="C54" s="55"/>
      <c r="E54" s="10"/>
      <c r="F54" s="85"/>
      <c r="H54" s="132"/>
      <c r="I54" s="73"/>
    </row>
    <row r="55" spans="1:9" ht="12.75" customHeight="1">
      <c r="A55" s="50" t="s">
        <v>88</v>
      </c>
      <c r="B55" s="5">
        <v>2004</v>
      </c>
      <c r="C55" s="55" t="s">
        <v>3</v>
      </c>
      <c r="D55" s="11" t="s">
        <v>325</v>
      </c>
      <c r="E55" s="327"/>
      <c r="F55" s="352">
        <v>48.402</v>
      </c>
      <c r="H55" s="355">
        <f>29.637*1000/5.991</f>
        <v>4946.920380570857</v>
      </c>
      <c r="I55" s="350">
        <f>$H55/$F55</f>
        <v>102.20487543016522</v>
      </c>
    </row>
    <row r="56" spans="1:9" ht="12.75" customHeight="1">
      <c r="A56" s="50" t="s">
        <v>88</v>
      </c>
      <c r="B56" s="5">
        <v>2004</v>
      </c>
      <c r="C56" s="55" t="s">
        <v>9</v>
      </c>
      <c r="D56" s="11" t="s">
        <v>332</v>
      </c>
      <c r="E56" s="328"/>
      <c r="F56" s="352"/>
      <c r="H56" s="355"/>
      <c r="I56" s="350"/>
    </row>
    <row r="57" spans="1:9" ht="12.75" customHeight="1">
      <c r="A57" s="50" t="s">
        <v>88</v>
      </c>
      <c r="B57" s="5">
        <v>2004</v>
      </c>
      <c r="C57" s="55" t="s">
        <v>467</v>
      </c>
      <c r="D57" s="11" t="s">
        <v>366</v>
      </c>
      <c r="E57" s="328"/>
      <c r="F57" s="352"/>
      <c r="H57" s="355"/>
      <c r="I57" s="350"/>
    </row>
    <row r="58" spans="1:9" ht="12.75" customHeight="1">
      <c r="A58" s="50" t="s">
        <v>88</v>
      </c>
      <c r="B58" s="5">
        <v>2004</v>
      </c>
      <c r="C58" s="55" t="s">
        <v>467</v>
      </c>
      <c r="D58" s="11" t="s">
        <v>313</v>
      </c>
      <c r="E58" s="328"/>
      <c r="F58" s="352"/>
      <c r="H58" s="355"/>
      <c r="I58" s="350"/>
    </row>
    <row r="59" spans="1:9" ht="12.75" customHeight="1">
      <c r="A59" s="50" t="s">
        <v>88</v>
      </c>
      <c r="B59" s="5">
        <v>2004</v>
      </c>
      <c r="C59" s="55" t="s">
        <v>7</v>
      </c>
      <c r="D59" s="11" t="s">
        <v>375</v>
      </c>
      <c r="E59" s="328"/>
      <c r="F59" s="352"/>
      <c r="H59" s="355"/>
      <c r="I59" s="350"/>
    </row>
    <row r="60" spans="1:9" ht="12.75" customHeight="1">
      <c r="A60" s="50" t="s">
        <v>88</v>
      </c>
      <c r="B60" s="5">
        <v>2004</v>
      </c>
      <c r="C60" s="3" t="s">
        <v>284</v>
      </c>
      <c r="E60" s="329"/>
      <c r="F60" s="352"/>
      <c r="H60" s="355"/>
      <c r="I60" s="350"/>
    </row>
    <row r="61" spans="1:9" s="175" customFormat="1" ht="3" customHeight="1">
      <c r="A61" s="212"/>
      <c r="B61" s="157"/>
      <c r="C61" s="174"/>
      <c r="E61" s="237"/>
      <c r="F61" s="198"/>
      <c r="G61" s="160"/>
      <c r="H61" s="216"/>
      <c r="I61" s="195"/>
    </row>
    <row r="62" spans="1:9" ht="12.75" customHeight="1">
      <c r="A62" s="50" t="s">
        <v>88</v>
      </c>
      <c r="B62" s="5">
        <v>2004</v>
      </c>
      <c r="C62" s="55"/>
      <c r="D62" s="11" t="s">
        <v>482</v>
      </c>
      <c r="E62" s="10"/>
      <c r="F62" s="82">
        <v>29.052</v>
      </c>
      <c r="H62" s="127">
        <f>76.175*1000/5.991</f>
        <v>12714.905691871141</v>
      </c>
      <c r="I62" s="46">
        <f>$H62/$F62</f>
        <v>437.6602537474577</v>
      </c>
    </row>
    <row r="63" spans="1:9" ht="12.75" customHeight="1">
      <c r="A63" s="50"/>
      <c r="C63" s="55"/>
      <c r="E63" s="10"/>
      <c r="F63" s="85"/>
      <c r="H63" s="132"/>
      <c r="I63" s="73"/>
    </row>
    <row r="64" spans="1:9" ht="12.75" customHeight="1">
      <c r="A64" s="50" t="s">
        <v>83</v>
      </c>
      <c r="B64" s="5">
        <v>2004</v>
      </c>
      <c r="C64" s="22">
        <v>4412.13</v>
      </c>
      <c r="D64" s="8" t="s">
        <v>42</v>
      </c>
      <c r="E64" s="1"/>
      <c r="F64" s="14">
        <v>2</v>
      </c>
      <c r="H64" s="139">
        <v>1747</v>
      </c>
      <c r="I64" s="46">
        <f>$H64/$F64</f>
        <v>873.5</v>
      </c>
    </row>
    <row r="65" spans="1:9" ht="12.75" customHeight="1">
      <c r="A65" s="50"/>
      <c r="C65" s="22"/>
      <c r="D65" s="8"/>
      <c r="E65" s="1"/>
      <c r="F65" s="14"/>
      <c r="H65" s="139"/>
      <c r="I65" s="59"/>
    </row>
    <row r="66" spans="1:9" ht="3" customHeight="1">
      <c r="A66" s="50"/>
      <c r="C66" s="22"/>
      <c r="D66" s="8"/>
      <c r="E66" s="1"/>
      <c r="F66" s="14"/>
      <c r="H66" s="139"/>
      <c r="I66" s="59"/>
    </row>
    <row r="67" spans="1:9" s="8" customFormat="1" ht="12.75" customHeight="1">
      <c r="A67" s="48" t="s">
        <v>87</v>
      </c>
      <c r="B67" s="22">
        <v>2003</v>
      </c>
      <c r="C67" s="55" t="s">
        <v>14</v>
      </c>
      <c r="D67" s="10" t="s">
        <v>345</v>
      </c>
      <c r="E67" s="252"/>
      <c r="F67" s="345">
        <v>28.000588</v>
      </c>
      <c r="G67" s="100"/>
      <c r="H67" s="354">
        <f>17611/0.88603</f>
        <v>19876.302156811846</v>
      </c>
      <c r="I67" s="349">
        <f>$H67/$F67</f>
        <v>709.8530272582792</v>
      </c>
    </row>
    <row r="68" spans="1:9" s="8" customFormat="1" ht="12.75" customHeight="1">
      <c r="A68" s="48" t="s">
        <v>87</v>
      </c>
      <c r="B68" s="22">
        <v>2003</v>
      </c>
      <c r="C68" s="55" t="s">
        <v>467</v>
      </c>
      <c r="D68" s="10" t="s">
        <v>315</v>
      </c>
      <c r="E68" s="253"/>
      <c r="F68" s="345"/>
      <c r="G68" s="100"/>
      <c r="H68" s="355">
        <v>1160.699</v>
      </c>
      <c r="I68" s="350" t="e">
        <f>$H68/$F68</f>
        <v>#DIV/0!</v>
      </c>
    </row>
    <row r="69" spans="1:9" s="8" customFormat="1" ht="12.75" customHeight="1">
      <c r="A69" s="48" t="s">
        <v>87</v>
      </c>
      <c r="B69" s="22">
        <v>2003</v>
      </c>
      <c r="C69" s="55" t="s">
        <v>467</v>
      </c>
      <c r="D69" s="10" t="s">
        <v>354</v>
      </c>
      <c r="E69" s="254"/>
      <c r="F69" s="345"/>
      <c r="G69" s="100"/>
      <c r="H69" s="355">
        <v>1160.699</v>
      </c>
      <c r="I69" s="350" t="e">
        <f>$H69/$F69</f>
        <v>#DIV/0!</v>
      </c>
    </row>
    <row r="70" spans="1:9" s="165" customFormat="1" ht="3" customHeight="1">
      <c r="A70" s="217"/>
      <c r="B70" s="166"/>
      <c r="C70" s="185"/>
      <c r="E70" s="180"/>
      <c r="F70" s="189"/>
      <c r="G70" s="209"/>
      <c r="H70" s="216"/>
      <c r="I70" s="195"/>
    </row>
    <row r="71" spans="1:9" s="24" customFormat="1" ht="12.75" customHeight="1">
      <c r="A71" s="48" t="s">
        <v>87</v>
      </c>
      <c r="B71" s="22">
        <v>2003</v>
      </c>
      <c r="C71" s="22"/>
      <c r="D71" s="25" t="s">
        <v>482</v>
      </c>
      <c r="E71" s="25"/>
      <c r="F71" s="19">
        <v>67.620168</v>
      </c>
      <c r="G71" s="83"/>
      <c r="H71" s="126">
        <f>34703/0.88603</f>
        <v>39166.84536640972</v>
      </c>
      <c r="I71" s="21">
        <f>$H71/$F71</f>
        <v>579.2183977775642</v>
      </c>
    </row>
    <row r="72" spans="1:9" s="24" customFormat="1" ht="12.75" customHeight="1">
      <c r="A72" s="50"/>
      <c r="B72" s="5"/>
      <c r="F72" s="26"/>
      <c r="G72" s="87"/>
      <c r="H72" s="128"/>
      <c r="I72" s="26"/>
    </row>
    <row r="73" spans="1:9" s="8" customFormat="1" ht="12.75" customHeight="1">
      <c r="A73" s="48" t="s">
        <v>87</v>
      </c>
      <c r="B73" s="22">
        <v>2004</v>
      </c>
      <c r="C73" s="55" t="s">
        <v>14</v>
      </c>
      <c r="D73" s="10" t="s">
        <v>345</v>
      </c>
      <c r="E73" s="252"/>
      <c r="F73" s="345">
        <v>29.944992</v>
      </c>
      <c r="G73" s="100"/>
      <c r="H73" s="354">
        <f>19721/0.80537</f>
        <v>24486.88180587804</v>
      </c>
      <c r="I73" s="349">
        <f>$H73/$F73</f>
        <v>817.7287810221503</v>
      </c>
    </row>
    <row r="74" spans="1:9" s="8" customFormat="1" ht="12.75" customHeight="1">
      <c r="A74" s="48" t="s">
        <v>87</v>
      </c>
      <c r="B74" s="22">
        <v>2004</v>
      </c>
      <c r="C74" s="55" t="s">
        <v>467</v>
      </c>
      <c r="D74" s="10" t="s">
        <v>315</v>
      </c>
      <c r="E74" s="253"/>
      <c r="F74" s="345"/>
      <c r="G74" s="100"/>
      <c r="H74" s="355">
        <v>1160.699</v>
      </c>
      <c r="I74" s="350" t="e">
        <f>$H74/$F74</f>
        <v>#DIV/0!</v>
      </c>
    </row>
    <row r="75" spans="1:9" s="8" customFormat="1" ht="12.75" customHeight="1">
      <c r="A75" s="48" t="s">
        <v>87</v>
      </c>
      <c r="B75" s="22">
        <v>2004</v>
      </c>
      <c r="C75" s="55" t="s">
        <v>467</v>
      </c>
      <c r="D75" s="10" t="s">
        <v>354</v>
      </c>
      <c r="E75" s="254"/>
      <c r="F75" s="345"/>
      <c r="G75" s="100"/>
      <c r="H75" s="355">
        <v>1160.699</v>
      </c>
      <c r="I75" s="350" t="e">
        <f>$H75/$F75</f>
        <v>#DIV/0!</v>
      </c>
    </row>
    <row r="76" spans="1:9" s="165" customFormat="1" ht="3" customHeight="1">
      <c r="A76" s="217"/>
      <c r="B76" s="166"/>
      <c r="C76" s="185"/>
      <c r="E76" s="180"/>
      <c r="F76" s="189"/>
      <c r="G76" s="209"/>
      <c r="H76" s="216"/>
      <c r="I76" s="195"/>
    </row>
    <row r="77" spans="1:10" s="24" customFormat="1" ht="12.75" customHeight="1">
      <c r="A77" s="48" t="s">
        <v>87</v>
      </c>
      <c r="B77" s="22">
        <v>2004</v>
      </c>
      <c r="C77" s="22"/>
      <c r="D77" s="25" t="s">
        <v>482</v>
      </c>
      <c r="E77" s="25"/>
      <c r="F77" s="19">
        <v>62.857718</v>
      </c>
      <c r="G77" s="83"/>
      <c r="H77" s="126">
        <f>32606/0.80537</f>
        <v>40485.73947378223</v>
      </c>
      <c r="I77" s="21">
        <f>$H77/$F77</f>
        <v>644.0854164286116</v>
      </c>
      <c r="J77" s="8"/>
    </row>
    <row r="78" spans="1:10" s="24" customFormat="1" ht="12.75" customHeight="1">
      <c r="A78" s="71"/>
      <c r="B78" s="22"/>
      <c r="G78" s="87"/>
      <c r="H78" s="128"/>
      <c r="I78" s="26"/>
      <c r="J78" s="8"/>
    </row>
    <row r="79" spans="1:10" s="24" customFormat="1" ht="12.75" customHeight="1">
      <c r="A79" s="50" t="s">
        <v>534</v>
      </c>
      <c r="B79" s="5">
        <v>2003</v>
      </c>
      <c r="C79" s="5">
        <v>4412.13</v>
      </c>
      <c r="D79" s="24" t="s">
        <v>42</v>
      </c>
      <c r="F79" s="26">
        <v>4</v>
      </c>
      <c r="G79" s="87"/>
      <c r="H79" s="126">
        <f>1734.86/0.88603</f>
        <v>1958.0149656332178</v>
      </c>
      <c r="I79" s="26">
        <f>$H79/$F79</f>
        <v>489.50374140830445</v>
      </c>
      <c r="J79" s="8"/>
    </row>
    <row r="80" spans="1:9" s="24" customFormat="1" ht="12.75" customHeight="1">
      <c r="A80" s="50"/>
      <c r="B80" s="5"/>
      <c r="F80" s="26"/>
      <c r="G80" s="87"/>
      <c r="H80" s="128"/>
      <c r="I80" s="26"/>
    </row>
    <row r="81" spans="1:9" s="24" customFormat="1" ht="12.75" customHeight="1">
      <c r="A81" s="50" t="s">
        <v>534</v>
      </c>
      <c r="B81" s="5">
        <v>2004</v>
      </c>
      <c r="C81" s="5">
        <v>4412.13</v>
      </c>
      <c r="D81" s="24" t="s">
        <v>42</v>
      </c>
      <c r="F81" s="26">
        <v>4</v>
      </c>
      <c r="G81" s="87"/>
      <c r="H81" s="126">
        <f>1910.7/0.80537</f>
        <v>2372.449929845909</v>
      </c>
      <c r="I81" s="26">
        <f>$H81/$F81</f>
        <v>593.1124824614773</v>
      </c>
    </row>
    <row r="82" spans="1:8" s="24" customFormat="1" ht="12.75" customHeight="1">
      <c r="A82" s="50"/>
      <c r="B82" s="5"/>
      <c r="G82" s="87"/>
      <c r="H82" s="121"/>
    </row>
    <row r="83" spans="1:9" s="24" customFormat="1" ht="12.75" customHeight="1">
      <c r="A83" s="50" t="s">
        <v>78</v>
      </c>
      <c r="B83" s="5">
        <v>2003</v>
      </c>
      <c r="D83" s="24" t="s">
        <v>482</v>
      </c>
      <c r="F83" s="26">
        <v>213.4</v>
      </c>
      <c r="G83" s="87"/>
      <c r="H83" s="126">
        <f>110983/0.88603</f>
        <v>125258.73841743507</v>
      </c>
      <c r="I83" s="47">
        <f>$H83/$F83</f>
        <v>586.9669091726105</v>
      </c>
    </row>
    <row r="84" spans="1:9" s="24" customFormat="1" ht="12.75" customHeight="1">
      <c r="A84" s="50"/>
      <c r="B84" s="5"/>
      <c r="F84" s="26"/>
      <c r="G84" s="87"/>
      <c r="H84" s="128"/>
      <c r="I84" s="26"/>
    </row>
    <row r="85" spans="1:9" s="24" customFormat="1" ht="12.75" customHeight="1">
      <c r="A85" s="48" t="s">
        <v>78</v>
      </c>
      <c r="B85" s="22">
        <v>2004</v>
      </c>
      <c r="C85" s="25"/>
      <c r="D85" s="25" t="s">
        <v>482</v>
      </c>
      <c r="E85" s="25"/>
      <c r="F85" s="21">
        <v>198.1</v>
      </c>
      <c r="G85" s="83"/>
      <c r="H85" s="126">
        <f>108513/0.80537</f>
        <v>134736.82903510187</v>
      </c>
      <c r="I85" s="47">
        <f>$H85/$F85</f>
        <v>680.1455276885506</v>
      </c>
    </row>
    <row r="86" spans="1:8" s="24" customFormat="1" ht="12.75" customHeight="1">
      <c r="A86" s="50"/>
      <c r="B86" s="5"/>
      <c r="G86" s="87"/>
      <c r="H86" s="121"/>
    </row>
    <row r="87" spans="1:9" s="24" customFormat="1" ht="12.75" customHeight="1">
      <c r="A87" s="48" t="s">
        <v>251</v>
      </c>
      <c r="B87" s="22">
        <v>2003</v>
      </c>
      <c r="C87" s="55" t="s">
        <v>282</v>
      </c>
      <c r="D87" s="10" t="s">
        <v>365</v>
      </c>
      <c r="E87" s="252"/>
      <c r="F87" s="366">
        <v>0</v>
      </c>
      <c r="G87" s="368" t="s">
        <v>10</v>
      </c>
      <c r="H87" s="362" t="s">
        <v>71</v>
      </c>
      <c r="I87" s="364" t="s">
        <v>71</v>
      </c>
    </row>
    <row r="88" spans="1:9" s="24" customFormat="1" ht="12.75" customHeight="1">
      <c r="A88" s="48" t="s">
        <v>251</v>
      </c>
      <c r="B88" s="22">
        <v>2003</v>
      </c>
      <c r="C88" s="55" t="s">
        <v>280</v>
      </c>
      <c r="D88" s="10" t="s">
        <v>378</v>
      </c>
      <c r="E88" s="253"/>
      <c r="F88" s="366"/>
      <c r="G88" s="368"/>
      <c r="H88" s="363"/>
      <c r="I88" s="365"/>
    </row>
    <row r="89" spans="1:9" s="24" customFormat="1" ht="12.75" customHeight="1">
      <c r="A89" s="48" t="s">
        <v>251</v>
      </c>
      <c r="B89" s="22">
        <v>2003</v>
      </c>
      <c r="C89" s="55" t="s">
        <v>281</v>
      </c>
      <c r="D89" s="10" t="s">
        <v>379</v>
      </c>
      <c r="E89" s="253"/>
      <c r="F89" s="366"/>
      <c r="G89" s="368"/>
      <c r="H89" s="363"/>
      <c r="I89" s="365"/>
    </row>
    <row r="90" spans="1:9" s="24" customFormat="1" ht="12.75" customHeight="1">
      <c r="A90" s="48" t="s">
        <v>251</v>
      </c>
      <c r="B90" s="22">
        <v>2003</v>
      </c>
      <c r="C90" s="55" t="s">
        <v>720</v>
      </c>
      <c r="D90" s="75" t="s">
        <v>373</v>
      </c>
      <c r="E90" s="253"/>
      <c r="F90" s="366"/>
      <c r="G90" s="368"/>
      <c r="H90" s="363"/>
      <c r="I90" s="365"/>
    </row>
    <row r="91" spans="1:9" s="24" customFormat="1" ht="12.75" customHeight="1">
      <c r="A91" s="48" t="s">
        <v>251</v>
      </c>
      <c r="B91" s="22">
        <v>2003</v>
      </c>
      <c r="C91" s="55" t="s">
        <v>479</v>
      </c>
      <c r="D91" s="75" t="s">
        <v>374</v>
      </c>
      <c r="E91" s="253"/>
      <c r="F91" s="366"/>
      <c r="G91" s="368"/>
      <c r="H91" s="363"/>
      <c r="I91" s="365"/>
    </row>
    <row r="92" spans="1:9" s="24" customFormat="1" ht="12.75" customHeight="1">
      <c r="A92" s="48" t="s">
        <v>251</v>
      </c>
      <c r="B92" s="22">
        <v>2003</v>
      </c>
      <c r="C92" s="55" t="s">
        <v>15</v>
      </c>
      <c r="D92" s="75" t="s">
        <v>312</v>
      </c>
      <c r="E92" s="243"/>
      <c r="F92" s="366"/>
      <c r="G92" s="368"/>
      <c r="H92" s="363"/>
      <c r="I92" s="365"/>
    </row>
    <row r="93" spans="1:9" s="24" customFormat="1" ht="12.75" customHeight="1">
      <c r="A93" s="48" t="s">
        <v>251</v>
      </c>
      <c r="B93" s="22">
        <v>2003</v>
      </c>
      <c r="C93" s="55" t="s">
        <v>467</v>
      </c>
      <c r="D93" s="75" t="s">
        <v>319</v>
      </c>
      <c r="E93" s="243"/>
      <c r="F93" s="366"/>
      <c r="G93" s="368"/>
      <c r="H93" s="363"/>
      <c r="I93" s="365"/>
    </row>
    <row r="94" spans="1:9" s="24" customFormat="1" ht="12.75" customHeight="1">
      <c r="A94" s="48" t="s">
        <v>251</v>
      </c>
      <c r="B94" s="22">
        <v>2003</v>
      </c>
      <c r="C94" s="55" t="s">
        <v>467</v>
      </c>
      <c r="D94" s="75" t="s">
        <v>356</v>
      </c>
      <c r="E94" s="244"/>
      <c r="F94" s="366"/>
      <c r="G94" s="368"/>
      <c r="H94" s="363"/>
      <c r="I94" s="365"/>
    </row>
    <row r="95" spans="1:9" s="24" customFormat="1" ht="3" customHeight="1">
      <c r="A95" s="217"/>
      <c r="B95" s="166"/>
      <c r="C95" s="185"/>
      <c r="D95" s="180"/>
      <c r="E95" s="165"/>
      <c r="F95" s="211"/>
      <c r="G95" s="181"/>
      <c r="H95" s="200"/>
      <c r="I95" s="198"/>
    </row>
    <row r="96" spans="1:9" s="24" customFormat="1" ht="12.75" customHeight="1">
      <c r="A96" s="48" t="s">
        <v>251</v>
      </c>
      <c r="B96" s="22">
        <v>2003</v>
      </c>
      <c r="C96" s="286"/>
      <c r="D96" s="25" t="s">
        <v>482</v>
      </c>
      <c r="E96" s="25"/>
      <c r="F96" s="25">
        <v>6</v>
      </c>
      <c r="G96" s="83"/>
      <c r="H96" s="126">
        <f>2509/0.88603</f>
        <v>2831.7325598456036</v>
      </c>
      <c r="I96" s="47">
        <f>$H96/$F96</f>
        <v>471.9554266409339</v>
      </c>
    </row>
    <row r="97" spans="1:8" s="24" customFormat="1" ht="12.75" customHeight="1">
      <c r="A97" s="50"/>
      <c r="B97" s="5"/>
      <c r="G97" s="87"/>
      <c r="H97" s="121"/>
    </row>
    <row r="98" spans="1:9" s="24" customFormat="1" ht="12.75" customHeight="1">
      <c r="A98" s="48" t="s">
        <v>251</v>
      </c>
      <c r="B98" s="22">
        <v>2004</v>
      </c>
      <c r="C98" s="55" t="s">
        <v>282</v>
      </c>
      <c r="D98" s="10" t="s">
        <v>365</v>
      </c>
      <c r="E98" s="252"/>
      <c r="F98" s="366">
        <v>1</v>
      </c>
      <c r="G98" s="368"/>
      <c r="H98" s="362">
        <f>600/0.80537</f>
        <v>744.999192917541</v>
      </c>
      <c r="I98" s="364">
        <f aca="true" t="shared" si="3" ref="I98:I105">$H98/$F98</f>
        <v>744.999192917541</v>
      </c>
    </row>
    <row r="99" spans="1:9" s="24" customFormat="1" ht="12.75" customHeight="1">
      <c r="A99" s="48" t="s">
        <v>251</v>
      </c>
      <c r="B99" s="22">
        <v>2004</v>
      </c>
      <c r="C99" s="55" t="s">
        <v>280</v>
      </c>
      <c r="D99" s="10" t="s">
        <v>378</v>
      </c>
      <c r="E99" s="253"/>
      <c r="F99" s="366"/>
      <c r="G99" s="368"/>
      <c r="H99" s="363"/>
      <c r="I99" s="365" t="e">
        <f t="shared" si="3"/>
        <v>#DIV/0!</v>
      </c>
    </row>
    <row r="100" spans="1:9" s="24" customFormat="1" ht="12.75" customHeight="1">
      <c r="A100" s="48" t="s">
        <v>251</v>
      </c>
      <c r="B100" s="22">
        <v>2004</v>
      </c>
      <c r="C100" s="55" t="s">
        <v>281</v>
      </c>
      <c r="D100" s="10" t="s">
        <v>379</v>
      </c>
      <c r="E100" s="253"/>
      <c r="F100" s="366"/>
      <c r="G100" s="368"/>
      <c r="H100" s="363"/>
      <c r="I100" s="365" t="e">
        <f t="shared" si="3"/>
        <v>#DIV/0!</v>
      </c>
    </row>
    <row r="101" spans="1:9" s="24" customFormat="1" ht="12.75" customHeight="1">
      <c r="A101" s="48" t="s">
        <v>251</v>
      </c>
      <c r="B101" s="22">
        <v>2004</v>
      </c>
      <c r="C101" s="55" t="s">
        <v>720</v>
      </c>
      <c r="D101" s="75" t="s">
        <v>373</v>
      </c>
      <c r="E101" s="253"/>
      <c r="F101" s="366"/>
      <c r="G101" s="368"/>
      <c r="H101" s="363"/>
      <c r="I101" s="365" t="e">
        <f t="shared" si="3"/>
        <v>#DIV/0!</v>
      </c>
    </row>
    <row r="102" spans="1:9" s="24" customFormat="1" ht="12.75" customHeight="1">
      <c r="A102" s="48" t="s">
        <v>251</v>
      </c>
      <c r="B102" s="22">
        <v>2004</v>
      </c>
      <c r="C102" s="55" t="s">
        <v>479</v>
      </c>
      <c r="D102" s="75" t="s">
        <v>374</v>
      </c>
      <c r="E102" s="253"/>
      <c r="F102" s="366"/>
      <c r="G102" s="368"/>
      <c r="H102" s="363"/>
      <c r="I102" s="365" t="e">
        <f t="shared" si="3"/>
        <v>#DIV/0!</v>
      </c>
    </row>
    <row r="103" spans="1:9" s="24" customFormat="1" ht="12.75" customHeight="1">
      <c r="A103" s="48" t="s">
        <v>251</v>
      </c>
      <c r="B103" s="22">
        <v>2004</v>
      </c>
      <c r="C103" s="55" t="s">
        <v>15</v>
      </c>
      <c r="D103" s="75" t="s">
        <v>312</v>
      </c>
      <c r="E103" s="243"/>
      <c r="F103" s="366"/>
      <c r="G103" s="368"/>
      <c r="H103" s="363"/>
      <c r="I103" s="365" t="e">
        <f t="shared" si="3"/>
        <v>#DIV/0!</v>
      </c>
    </row>
    <row r="104" spans="1:9" s="24" customFormat="1" ht="12.75" customHeight="1">
      <c r="A104" s="48" t="s">
        <v>251</v>
      </c>
      <c r="B104" s="22">
        <v>2004</v>
      </c>
      <c r="C104" s="55" t="s">
        <v>467</v>
      </c>
      <c r="D104" s="75" t="s">
        <v>319</v>
      </c>
      <c r="E104" s="243"/>
      <c r="F104" s="366"/>
      <c r="G104" s="368"/>
      <c r="H104" s="363"/>
      <c r="I104" s="365" t="e">
        <f t="shared" si="3"/>
        <v>#DIV/0!</v>
      </c>
    </row>
    <row r="105" spans="1:9" s="24" customFormat="1" ht="12.75" customHeight="1">
      <c r="A105" s="48" t="s">
        <v>251</v>
      </c>
      <c r="B105" s="22">
        <v>2004</v>
      </c>
      <c r="C105" s="55" t="s">
        <v>467</v>
      </c>
      <c r="D105" s="75" t="s">
        <v>356</v>
      </c>
      <c r="E105" s="244"/>
      <c r="F105" s="366"/>
      <c r="G105" s="368"/>
      <c r="H105" s="363"/>
      <c r="I105" s="365" t="e">
        <f t="shared" si="3"/>
        <v>#DIV/0!</v>
      </c>
    </row>
    <row r="106" spans="1:9" s="24" customFormat="1" ht="3" customHeight="1">
      <c r="A106" s="217"/>
      <c r="B106" s="166"/>
      <c r="C106" s="185"/>
      <c r="D106" s="180"/>
      <c r="E106" s="165"/>
      <c r="F106" s="211"/>
      <c r="G106" s="181"/>
      <c r="H106" s="200"/>
      <c r="I106" s="198"/>
    </row>
    <row r="107" spans="1:9" s="24" customFormat="1" ht="12.75" customHeight="1">
      <c r="A107" s="48" t="s">
        <v>251</v>
      </c>
      <c r="B107" s="22">
        <v>2004</v>
      </c>
      <c r="C107" s="286"/>
      <c r="D107" s="25" t="s">
        <v>482</v>
      </c>
      <c r="E107" s="25"/>
      <c r="F107" s="25">
        <v>9</v>
      </c>
      <c r="G107" s="83"/>
      <c r="H107" s="126">
        <f>3491/0.80537</f>
        <v>4334.653637458559</v>
      </c>
      <c r="I107" s="47">
        <f>$H107/$F107</f>
        <v>481.6281819398399</v>
      </c>
    </row>
    <row r="108" spans="1:9" s="24" customFormat="1" ht="12.75" customHeight="1">
      <c r="A108" s="48"/>
      <c r="B108" s="22"/>
      <c r="C108" s="286"/>
      <c r="D108" s="25"/>
      <c r="E108" s="25"/>
      <c r="F108" s="25"/>
      <c r="G108" s="83"/>
      <c r="H108" s="126"/>
      <c r="I108" s="47"/>
    </row>
    <row r="109" spans="1:9" s="24" customFormat="1" ht="12.75" customHeight="1">
      <c r="A109" s="50" t="s">
        <v>529</v>
      </c>
      <c r="B109" s="5">
        <v>2003</v>
      </c>
      <c r="C109" s="24" t="s">
        <v>84</v>
      </c>
      <c r="D109" s="24" t="s">
        <v>42</v>
      </c>
      <c r="F109" s="24">
        <v>5</v>
      </c>
      <c r="G109" s="87"/>
      <c r="H109" s="128">
        <f>2722/0.88603</f>
        <v>3072.1307404941144</v>
      </c>
      <c r="I109" s="26">
        <f>$H109/$F109</f>
        <v>614.4261480988229</v>
      </c>
    </row>
    <row r="110" spans="1:9" s="24" customFormat="1" ht="12.75" customHeight="1">
      <c r="A110" s="50" t="s">
        <v>529</v>
      </c>
      <c r="B110" s="5">
        <v>2003</v>
      </c>
      <c r="C110" s="24" t="s">
        <v>530</v>
      </c>
      <c r="F110" s="24">
        <v>4</v>
      </c>
      <c r="G110" s="87"/>
      <c r="H110" s="128">
        <f>2770/0.88603</f>
        <v>3126.3049783867364</v>
      </c>
      <c r="I110" s="26">
        <f>$H110/$F110</f>
        <v>781.5762445966841</v>
      </c>
    </row>
    <row r="111" spans="1:8" s="24" customFormat="1" ht="12.75" customHeight="1">
      <c r="A111" s="50"/>
      <c r="B111" s="5"/>
      <c r="G111" s="87"/>
      <c r="H111" s="121"/>
    </row>
    <row r="112" spans="1:9" s="24" customFormat="1" ht="12.75" customHeight="1">
      <c r="A112" s="50" t="s">
        <v>529</v>
      </c>
      <c r="B112" s="5">
        <v>2004</v>
      </c>
      <c r="C112" s="24" t="s">
        <v>84</v>
      </c>
      <c r="D112" s="24" t="s">
        <v>42</v>
      </c>
      <c r="F112" s="24">
        <v>6</v>
      </c>
      <c r="G112" s="87"/>
      <c r="H112" s="128">
        <f>3214/0.80537</f>
        <v>3990.712343394961</v>
      </c>
      <c r="I112" s="26">
        <f>$H112/$F112</f>
        <v>665.1187238991602</v>
      </c>
    </row>
    <row r="113" spans="1:9" s="24" customFormat="1" ht="12.75" customHeight="1">
      <c r="A113" s="50" t="s">
        <v>529</v>
      </c>
      <c r="B113" s="5">
        <v>2004</v>
      </c>
      <c r="C113" s="24" t="s">
        <v>530</v>
      </c>
      <c r="F113" s="24">
        <v>3</v>
      </c>
      <c r="G113" s="87"/>
      <c r="H113" s="128">
        <f>1798/0.80537</f>
        <v>2232.5142481095645</v>
      </c>
      <c r="I113" s="26">
        <f>$H113/$F113</f>
        <v>744.1714160365215</v>
      </c>
    </row>
    <row r="114" spans="1:8" s="24" customFormat="1" ht="12.75" customHeight="1">
      <c r="A114" s="50"/>
      <c r="B114" s="5"/>
      <c r="G114" s="87"/>
      <c r="H114" s="121"/>
    </row>
    <row r="115" spans="1:9" s="24" customFormat="1" ht="12.75" customHeight="1">
      <c r="A115" s="24" t="s">
        <v>13</v>
      </c>
      <c r="B115" s="5">
        <v>2003</v>
      </c>
      <c r="C115" s="55" t="s">
        <v>9</v>
      </c>
      <c r="D115" s="27" t="s">
        <v>332</v>
      </c>
      <c r="E115" s="252"/>
      <c r="F115" s="353">
        <v>846</v>
      </c>
      <c r="G115" s="87"/>
      <c r="H115" s="351">
        <f>309451</f>
        <v>309451</v>
      </c>
      <c r="I115" s="347">
        <f>$H115/$F115</f>
        <v>365.78132387706853</v>
      </c>
    </row>
    <row r="116" spans="1:9" s="24" customFormat="1" ht="12.75" customHeight="1">
      <c r="A116" s="24" t="s">
        <v>13</v>
      </c>
      <c r="B116" s="5">
        <v>2003</v>
      </c>
      <c r="C116" s="55" t="s">
        <v>467</v>
      </c>
      <c r="D116" s="27" t="s">
        <v>315</v>
      </c>
      <c r="E116" s="253"/>
      <c r="F116" s="353"/>
      <c r="G116" s="87"/>
      <c r="H116" s="351"/>
      <c r="I116" s="347"/>
    </row>
    <row r="117" spans="1:9" s="24" customFormat="1" ht="12.75" customHeight="1">
      <c r="A117" s="24" t="s">
        <v>13</v>
      </c>
      <c r="B117" s="5">
        <v>2003</v>
      </c>
      <c r="C117" s="56" t="s">
        <v>23</v>
      </c>
      <c r="D117" s="27" t="s">
        <v>328</v>
      </c>
      <c r="E117" s="254"/>
      <c r="F117" s="353"/>
      <c r="G117" s="87"/>
      <c r="H117" s="351"/>
      <c r="I117" s="347"/>
    </row>
    <row r="118" spans="1:9" s="24" customFormat="1" ht="3" customHeight="1">
      <c r="A118" s="156"/>
      <c r="B118" s="157"/>
      <c r="C118" s="194"/>
      <c r="D118" s="156"/>
      <c r="E118" s="180"/>
      <c r="F118" s="224"/>
      <c r="G118" s="163"/>
      <c r="H118" s="192"/>
      <c r="I118" s="193"/>
    </row>
    <row r="119" spans="1:9" s="24" customFormat="1" ht="12.75" customHeight="1">
      <c r="A119" s="24" t="s">
        <v>13</v>
      </c>
      <c r="B119" s="5">
        <v>2003</v>
      </c>
      <c r="D119" s="24" t="s">
        <v>482</v>
      </c>
      <c r="F119" s="24">
        <v>2431</v>
      </c>
      <c r="G119" s="87"/>
      <c r="H119" s="128">
        <f>1064415</f>
        <v>1064415</v>
      </c>
      <c r="I119" s="26">
        <f>$H119/$F119</f>
        <v>437.85067873303166</v>
      </c>
    </row>
    <row r="120" spans="1:8" s="24" customFormat="1" ht="12.75" customHeight="1">
      <c r="A120" s="50"/>
      <c r="B120" s="5"/>
      <c r="G120" s="87"/>
      <c r="H120" s="121"/>
    </row>
    <row r="121" spans="1:9" s="24" customFormat="1" ht="12.75" customHeight="1">
      <c r="A121" s="24" t="s">
        <v>13</v>
      </c>
      <c r="B121" s="5">
        <v>2004</v>
      </c>
      <c r="C121" s="55" t="s">
        <v>9</v>
      </c>
      <c r="D121" s="27" t="s">
        <v>332</v>
      </c>
      <c r="E121" s="252"/>
      <c r="F121" s="353">
        <v>880</v>
      </c>
      <c r="G121" s="87"/>
      <c r="H121" s="351">
        <v>371612</v>
      </c>
      <c r="I121" s="347">
        <f>$H121/$F121</f>
        <v>422.28636363636366</v>
      </c>
    </row>
    <row r="122" spans="1:9" s="24" customFormat="1" ht="12.75" customHeight="1">
      <c r="A122" s="24" t="s">
        <v>13</v>
      </c>
      <c r="B122" s="5">
        <v>2004</v>
      </c>
      <c r="C122" s="55" t="s">
        <v>467</v>
      </c>
      <c r="D122" s="27" t="s">
        <v>315</v>
      </c>
      <c r="E122" s="253"/>
      <c r="F122" s="353"/>
      <c r="G122" s="87"/>
      <c r="H122" s="351"/>
      <c r="I122" s="347" t="e">
        <f>$H122/$F122</f>
        <v>#DIV/0!</v>
      </c>
    </row>
    <row r="123" spans="1:9" s="24" customFormat="1" ht="12.75" customHeight="1">
      <c r="A123" s="24" t="s">
        <v>13</v>
      </c>
      <c r="B123" s="5">
        <v>2004</v>
      </c>
      <c r="C123" s="56" t="s">
        <v>23</v>
      </c>
      <c r="D123" s="27" t="s">
        <v>328</v>
      </c>
      <c r="E123" s="254"/>
      <c r="F123" s="353"/>
      <c r="G123" s="87"/>
      <c r="H123" s="351"/>
      <c r="I123" s="347" t="e">
        <f>$H123/$F123</f>
        <v>#DIV/0!</v>
      </c>
    </row>
    <row r="124" spans="1:9" s="24" customFormat="1" ht="3" customHeight="1">
      <c r="A124" s="156"/>
      <c r="B124" s="157"/>
      <c r="C124" s="194"/>
      <c r="D124" s="156"/>
      <c r="E124" s="180"/>
      <c r="F124" s="224"/>
      <c r="G124" s="163"/>
      <c r="H124" s="192"/>
      <c r="I124" s="193"/>
    </row>
    <row r="125" spans="1:9" s="24" customFormat="1" ht="12.75" customHeight="1">
      <c r="A125" s="24" t="s">
        <v>13</v>
      </c>
      <c r="B125" s="5">
        <v>2004</v>
      </c>
      <c r="D125" s="24" t="s">
        <v>482</v>
      </c>
      <c r="F125" s="24">
        <v>3670</v>
      </c>
      <c r="G125" s="87"/>
      <c r="H125" s="128">
        <v>1505401</v>
      </c>
      <c r="I125" s="26">
        <f>$H125/$F125</f>
        <v>410.1910081743869</v>
      </c>
    </row>
    <row r="126" spans="1:8" s="24" customFormat="1" ht="12.75" customHeight="1">
      <c r="A126" s="50"/>
      <c r="B126" s="5"/>
      <c r="G126" s="87"/>
      <c r="H126" s="121"/>
    </row>
    <row r="127" spans="1:8" s="24" customFormat="1" ht="3" customHeight="1">
      <c r="A127" s="50"/>
      <c r="B127" s="5"/>
      <c r="G127" s="87"/>
      <c r="H127" s="121"/>
    </row>
    <row r="128" spans="1:9" s="24" customFormat="1" ht="12.75" customHeight="1">
      <c r="A128" s="24" t="s">
        <v>256</v>
      </c>
      <c r="B128" s="5">
        <v>2003</v>
      </c>
      <c r="C128" s="5" t="s">
        <v>271</v>
      </c>
      <c r="D128" s="24" t="s">
        <v>42</v>
      </c>
      <c r="F128" s="26">
        <v>2.692</v>
      </c>
      <c r="G128" s="87"/>
      <c r="H128" s="128">
        <f>1775699/0.5823/1000</f>
        <v>3049.457324403228</v>
      </c>
      <c r="I128" s="26">
        <f>$H128/$F128</f>
        <v>1132.785038782774</v>
      </c>
    </row>
    <row r="129" spans="1:9" s="24" customFormat="1" ht="12.75" customHeight="1">
      <c r="A129" s="24" t="s">
        <v>256</v>
      </c>
      <c r="B129" s="5">
        <v>2003</v>
      </c>
      <c r="C129" s="5" t="s">
        <v>270</v>
      </c>
      <c r="F129" s="26">
        <v>0.749</v>
      </c>
      <c r="G129" s="87"/>
      <c r="H129" s="128">
        <f>713213/0.5823/1000</f>
        <v>1224.820539240941</v>
      </c>
      <c r="I129" s="26">
        <f>$H129/$F129</f>
        <v>1635.2744182122042</v>
      </c>
    </row>
    <row r="130" spans="1:9" s="24" customFormat="1" ht="12.75" customHeight="1">
      <c r="A130" s="24" t="s">
        <v>256</v>
      </c>
      <c r="B130" s="5">
        <v>2003</v>
      </c>
      <c r="C130" s="5" t="s">
        <v>273</v>
      </c>
      <c r="F130" s="26">
        <v>0.635</v>
      </c>
      <c r="G130" s="87"/>
      <c r="H130" s="128">
        <f>541526/0.5823/1000</f>
        <v>929.9776747381075</v>
      </c>
      <c r="I130" s="26">
        <f>$H130/$F130</f>
        <v>1464.531771241114</v>
      </c>
    </row>
    <row r="131" spans="1:9" s="24" customFormat="1" ht="12.75" customHeight="1">
      <c r="A131" s="24" t="s">
        <v>256</v>
      </c>
      <c r="B131" s="5">
        <v>2003</v>
      </c>
      <c r="C131" s="5" t="s">
        <v>272</v>
      </c>
      <c r="F131" s="26">
        <v>0.16</v>
      </c>
      <c r="G131" s="87" t="s">
        <v>10</v>
      </c>
      <c r="H131" s="128">
        <f>187269/0.5823/1000</f>
        <v>321.602266872746</v>
      </c>
      <c r="I131" s="26">
        <f>$H131/$F131</f>
        <v>2010.0141679546623</v>
      </c>
    </row>
    <row r="132" spans="1:9" s="24" customFormat="1" ht="12.75" customHeight="1">
      <c r="A132" s="24" t="s">
        <v>256</v>
      </c>
      <c r="B132" s="5">
        <v>2003</v>
      </c>
      <c r="C132" s="5" t="s">
        <v>707</v>
      </c>
      <c r="F132" s="26">
        <v>0.005</v>
      </c>
      <c r="G132" s="87" t="s">
        <v>10</v>
      </c>
      <c r="H132" s="128">
        <f>7262/0.5823/1000</f>
        <v>12.471234758715438</v>
      </c>
      <c r="I132" s="26">
        <f>$H132/$F132</f>
        <v>2494.2469517430877</v>
      </c>
    </row>
    <row r="133" spans="1:9" s="24" customFormat="1" ht="12.75" customHeight="1">
      <c r="A133" s="24" t="s">
        <v>256</v>
      </c>
      <c r="B133" s="5">
        <v>2003</v>
      </c>
      <c r="C133" s="5" t="s">
        <v>274</v>
      </c>
      <c r="F133" s="26">
        <v>0</v>
      </c>
      <c r="G133" s="87" t="s">
        <v>10</v>
      </c>
      <c r="H133" s="128">
        <f>105046/0.5823/1000</f>
        <v>180.39842005838915</v>
      </c>
      <c r="I133" s="59" t="s">
        <v>71</v>
      </c>
    </row>
    <row r="134" spans="1:9" s="24" customFormat="1" ht="12.75" customHeight="1">
      <c r="A134" s="24" t="s">
        <v>256</v>
      </c>
      <c r="B134" s="5">
        <v>2003</v>
      </c>
      <c r="C134" s="5" t="s">
        <v>275</v>
      </c>
      <c r="F134" s="26">
        <v>0</v>
      </c>
      <c r="G134" s="87" t="s">
        <v>10</v>
      </c>
      <c r="H134" s="128">
        <f>534469/0.5823/1000</f>
        <v>917.8584921861583</v>
      </c>
      <c r="I134" s="59" t="s">
        <v>71</v>
      </c>
    </row>
    <row r="135" spans="2:9" s="24" customFormat="1" ht="12.75" customHeight="1">
      <c r="B135" s="5"/>
      <c r="C135" s="5"/>
      <c r="F135" s="26"/>
      <c r="G135" s="87"/>
      <c r="H135" s="128"/>
      <c r="I135" s="26"/>
    </row>
    <row r="136" spans="1:9" s="24" customFormat="1" ht="12.75" customHeight="1">
      <c r="A136" s="24" t="s">
        <v>256</v>
      </c>
      <c r="B136" s="5">
        <v>2004</v>
      </c>
      <c r="C136" s="5" t="s">
        <v>271</v>
      </c>
      <c r="D136" s="24" t="s">
        <v>42</v>
      </c>
      <c r="F136" s="26">
        <v>2.952</v>
      </c>
      <c r="G136" s="87"/>
      <c r="H136" s="128">
        <f>2571983/0.664/1000</f>
        <v>3873.4683734939754</v>
      </c>
      <c r="I136" s="26">
        <f aca="true" t="shared" si="4" ref="I136:I141">$H136/$F136</f>
        <v>1312.1505330264145</v>
      </c>
    </row>
    <row r="137" spans="1:9" s="24" customFormat="1" ht="12.75" customHeight="1">
      <c r="A137" s="24" t="s">
        <v>256</v>
      </c>
      <c r="B137" s="5">
        <v>2004</v>
      </c>
      <c r="C137" s="5" t="s">
        <v>273</v>
      </c>
      <c r="F137" s="26">
        <v>1.335</v>
      </c>
      <c r="G137" s="87"/>
      <c r="H137" s="128">
        <f>829917/0.664/1000</f>
        <v>1249.875</v>
      </c>
      <c r="I137" s="26">
        <f t="shared" si="4"/>
        <v>936.2359550561798</v>
      </c>
    </row>
    <row r="138" spans="1:9" s="24" customFormat="1" ht="12.75" customHeight="1">
      <c r="A138" s="24" t="s">
        <v>256</v>
      </c>
      <c r="B138" s="5">
        <v>2004</v>
      </c>
      <c r="C138" s="5" t="s">
        <v>270</v>
      </c>
      <c r="F138" s="26">
        <v>0.837</v>
      </c>
      <c r="G138" s="87"/>
      <c r="H138" s="128">
        <f>703126/0.664/1000</f>
        <v>1058.9246987951808</v>
      </c>
      <c r="I138" s="26">
        <f t="shared" si="4"/>
        <v>1265.1430093132387</v>
      </c>
    </row>
    <row r="139" spans="1:9" s="24" customFormat="1" ht="12.75" customHeight="1">
      <c r="A139" s="24" t="s">
        <v>256</v>
      </c>
      <c r="B139" s="5">
        <v>2004</v>
      </c>
      <c r="C139" s="5" t="s">
        <v>708</v>
      </c>
      <c r="F139" s="26">
        <v>0.126</v>
      </c>
      <c r="G139" s="87" t="s">
        <v>10</v>
      </c>
      <c r="H139" s="128">
        <f>231137/0.664/1000</f>
        <v>348.09789156626505</v>
      </c>
      <c r="I139" s="26">
        <f t="shared" si="4"/>
        <v>2762.6816790973417</v>
      </c>
    </row>
    <row r="140" spans="1:9" s="24" customFormat="1" ht="12.75" customHeight="1">
      <c r="A140" s="24" t="s">
        <v>256</v>
      </c>
      <c r="B140" s="5">
        <v>2004</v>
      </c>
      <c r="C140" s="5" t="s">
        <v>272</v>
      </c>
      <c r="F140" s="26">
        <v>0.068</v>
      </c>
      <c r="G140" s="87" t="s">
        <v>10</v>
      </c>
      <c r="H140" s="128">
        <f>64317/0.664/1000</f>
        <v>96.86295180722891</v>
      </c>
      <c r="I140" s="26">
        <f t="shared" si="4"/>
        <v>1424.4551736357191</v>
      </c>
    </row>
    <row r="141" spans="1:9" s="24" customFormat="1" ht="12.75" customHeight="1">
      <c r="A141" s="24" t="s">
        <v>256</v>
      </c>
      <c r="B141" s="5">
        <v>2004</v>
      </c>
      <c r="C141" s="5" t="s">
        <v>707</v>
      </c>
      <c r="F141" s="26">
        <v>0.049</v>
      </c>
      <c r="G141" s="87" t="s">
        <v>10</v>
      </c>
      <c r="H141" s="128">
        <f>22861/0.664/1000</f>
        <v>34.429216867469876</v>
      </c>
      <c r="I141" s="26">
        <f t="shared" si="4"/>
        <v>702.6370789279566</v>
      </c>
    </row>
    <row r="142" spans="1:9" s="24" customFormat="1" ht="12.75" customHeight="1">
      <c r="A142" s="24" t="s">
        <v>256</v>
      </c>
      <c r="B142" s="5">
        <v>2004</v>
      </c>
      <c r="C142" s="5" t="s">
        <v>274</v>
      </c>
      <c r="F142" s="26">
        <v>0</v>
      </c>
      <c r="G142" s="87" t="s">
        <v>10</v>
      </c>
      <c r="H142" s="128">
        <f>99280/0.664/1000</f>
        <v>149.5180722891566</v>
      </c>
      <c r="I142" s="59" t="s">
        <v>71</v>
      </c>
    </row>
    <row r="143" spans="1:9" s="24" customFormat="1" ht="12.75" customHeight="1">
      <c r="A143" s="24" t="s">
        <v>256</v>
      </c>
      <c r="B143" s="5">
        <v>2004</v>
      </c>
      <c r="C143" s="5" t="s">
        <v>275</v>
      </c>
      <c r="F143" s="26">
        <v>0</v>
      </c>
      <c r="G143" s="87" t="s">
        <v>10</v>
      </c>
      <c r="H143" s="128">
        <f>918784/0.664/1000</f>
        <v>1383.710843373494</v>
      </c>
      <c r="I143" s="59" t="s">
        <v>71</v>
      </c>
    </row>
    <row r="144" spans="2:9" s="24" customFormat="1" ht="12.75" customHeight="1">
      <c r="B144" s="5"/>
      <c r="C144" s="5"/>
      <c r="F144" s="26"/>
      <c r="G144" s="87"/>
      <c r="H144" s="128"/>
      <c r="I144" s="26"/>
    </row>
    <row r="145" spans="1:9" ht="12.75" customHeight="1">
      <c r="A145" s="24" t="s">
        <v>55</v>
      </c>
      <c r="B145" s="5">
        <v>2003</v>
      </c>
      <c r="C145" s="5" t="s">
        <v>63</v>
      </c>
      <c r="D145" s="24" t="s">
        <v>42</v>
      </c>
      <c r="E145" s="24"/>
      <c r="F145" s="26">
        <v>3.867</v>
      </c>
      <c r="G145" s="87"/>
      <c r="H145" s="128">
        <f>1981.582</f>
        <v>1981.582</v>
      </c>
      <c r="I145" s="26">
        <f>$H145/$F145</f>
        <v>512.4339281096458</v>
      </c>
    </row>
    <row r="146" spans="1:9" ht="12.75" customHeight="1">
      <c r="A146" s="24" t="s">
        <v>55</v>
      </c>
      <c r="B146" s="5">
        <v>2003</v>
      </c>
      <c r="C146" s="5" t="s">
        <v>50</v>
      </c>
      <c r="D146" s="24"/>
      <c r="E146" s="24"/>
      <c r="F146" s="26">
        <v>0</v>
      </c>
      <c r="G146" s="87" t="s">
        <v>10</v>
      </c>
      <c r="H146" s="128">
        <f>1527.923</f>
        <v>1527.923</v>
      </c>
      <c r="I146" s="59" t="s">
        <v>71</v>
      </c>
    </row>
    <row r="147" spans="1:9" ht="12.75" customHeight="1">
      <c r="A147" s="24" t="s">
        <v>55</v>
      </c>
      <c r="B147" s="5">
        <v>2003</v>
      </c>
      <c r="C147" s="5" t="s">
        <v>62</v>
      </c>
      <c r="D147" s="24"/>
      <c r="E147" s="24"/>
      <c r="F147" s="26">
        <v>0.414</v>
      </c>
      <c r="G147" s="320" t="s">
        <v>10</v>
      </c>
      <c r="H147" s="128">
        <f>260.868</f>
        <v>260.868</v>
      </c>
      <c r="I147" s="26">
        <f>$H147/$F147</f>
        <v>630.1159420289855</v>
      </c>
    </row>
    <row r="148" spans="1:9" ht="12.75" customHeight="1">
      <c r="A148" s="24"/>
      <c r="C148" s="24"/>
      <c r="D148" s="24"/>
      <c r="E148" s="24"/>
      <c r="F148" s="26"/>
      <c r="G148" s="87"/>
      <c r="H148" s="128"/>
      <c r="I148" s="26"/>
    </row>
    <row r="149" spans="1:9" ht="12.75" customHeight="1">
      <c r="A149" s="24" t="s">
        <v>55</v>
      </c>
      <c r="B149" s="5">
        <v>2004</v>
      </c>
      <c r="C149" s="5" t="s">
        <v>63</v>
      </c>
      <c r="D149" s="24" t="s">
        <v>42</v>
      </c>
      <c r="E149" s="24"/>
      <c r="F149" s="26">
        <v>2.405</v>
      </c>
      <c r="G149" s="87"/>
      <c r="H149" s="128">
        <f>12207/6.7408</f>
        <v>1810.912651317351</v>
      </c>
      <c r="I149" s="26">
        <f>$H149/$F149</f>
        <v>752.978233395988</v>
      </c>
    </row>
    <row r="150" spans="1:9" ht="12.75" customHeight="1">
      <c r="A150" s="24" t="s">
        <v>55</v>
      </c>
      <c r="B150" s="5">
        <v>2004</v>
      </c>
      <c r="C150" s="5" t="s">
        <v>50</v>
      </c>
      <c r="D150" s="24"/>
      <c r="E150" s="24"/>
      <c r="F150" s="26">
        <v>0</v>
      </c>
      <c r="G150" s="87" t="s">
        <v>10</v>
      </c>
      <c r="H150" s="128">
        <f>6743/6.7408</f>
        <v>1000.3263707571801</v>
      </c>
      <c r="I150" s="59" t="s">
        <v>71</v>
      </c>
    </row>
    <row r="151" spans="1:9" ht="12.75" customHeight="1">
      <c r="A151" s="24" t="s">
        <v>55</v>
      </c>
      <c r="B151" s="5">
        <v>2004</v>
      </c>
      <c r="C151" s="5" t="s">
        <v>62</v>
      </c>
      <c r="D151" s="24"/>
      <c r="E151" s="24"/>
      <c r="F151" s="26">
        <v>0.36</v>
      </c>
      <c r="G151" s="320" t="s">
        <v>10</v>
      </c>
      <c r="H151" s="128">
        <f>958/6.7408</f>
        <v>142.11962971754093</v>
      </c>
      <c r="I151" s="26">
        <f>$H151/$F151</f>
        <v>394.7767492153915</v>
      </c>
    </row>
    <row r="152" spans="1:9" ht="12.75" customHeight="1">
      <c r="A152" s="24"/>
      <c r="C152" s="24"/>
      <c r="D152" s="24"/>
      <c r="E152" s="24"/>
      <c r="F152" s="26"/>
      <c r="G152" s="87"/>
      <c r="H152" s="128"/>
      <c r="I152" s="26"/>
    </row>
    <row r="153" spans="1:9" ht="12.75" customHeight="1">
      <c r="A153" s="24" t="s">
        <v>77</v>
      </c>
      <c r="B153" s="5">
        <v>2003</v>
      </c>
      <c r="C153" s="5" t="s">
        <v>637</v>
      </c>
      <c r="D153" s="24" t="s">
        <v>42</v>
      </c>
      <c r="E153" s="24"/>
      <c r="F153" s="24">
        <v>710</v>
      </c>
      <c r="G153" s="87"/>
      <c r="H153" s="128">
        <v>193240</v>
      </c>
      <c r="I153" s="26">
        <f aca="true" t="shared" si="5" ref="I153:I158">$H153/$F153</f>
        <v>272.16901408450707</v>
      </c>
    </row>
    <row r="154" spans="1:9" ht="12.75" customHeight="1">
      <c r="A154" s="24" t="s">
        <v>77</v>
      </c>
      <c r="B154" s="5">
        <v>2003</v>
      </c>
      <c r="C154" s="5" t="s">
        <v>636</v>
      </c>
      <c r="D154" s="24"/>
      <c r="E154" s="24"/>
      <c r="F154" s="24">
        <v>206</v>
      </c>
      <c r="G154" s="87"/>
      <c r="H154" s="128">
        <v>49725</v>
      </c>
      <c r="I154" s="26">
        <f t="shared" si="5"/>
        <v>241.38349514563106</v>
      </c>
    </row>
    <row r="155" spans="1:9" ht="12.75" customHeight="1">
      <c r="A155" s="24" t="s">
        <v>77</v>
      </c>
      <c r="B155" s="5">
        <v>2003</v>
      </c>
      <c r="C155" s="5" t="s">
        <v>634</v>
      </c>
      <c r="D155" s="24"/>
      <c r="E155" s="24"/>
      <c r="F155" s="24">
        <v>185</v>
      </c>
      <c r="G155" s="87"/>
      <c r="H155" s="128">
        <v>45191</v>
      </c>
      <c r="I155" s="26">
        <f t="shared" si="5"/>
        <v>244.27567567567567</v>
      </c>
    </row>
    <row r="156" spans="1:9" ht="12.75" customHeight="1">
      <c r="A156" s="24" t="s">
        <v>77</v>
      </c>
      <c r="B156" s="5">
        <v>2003</v>
      </c>
      <c r="C156" s="24" t="s">
        <v>240</v>
      </c>
      <c r="D156" s="24"/>
      <c r="E156" s="24"/>
      <c r="F156" s="24">
        <v>121</v>
      </c>
      <c r="G156" s="87"/>
      <c r="H156" s="128">
        <v>30121</v>
      </c>
      <c r="I156" s="26">
        <f t="shared" si="5"/>
        <v>248.93388429752065</v>
      </c>
    </row>
    <row r="157" spans="1:9" ht="12.75" customHeight="1">
      <c r="A157" s="24" t="s">
        <v>77</v>
      </c>
      <c r="B157" s="5">
        <v>2003</v>
      </c>
      <c r="C157" s="5" t="s">
        <v>638</v>
      </c>
      <c r="D157" s="24"/>
      <c r="E157" s="24"/>
      <c r="F157" s="24">
        <v>92</v>
      </c>
      <c r="G157" s="87"/>
      <c r="H157" s="128">
        <v>25489</v>
      </c>
      <c r="I157" s="26">
        <f t="shared" si="5"/>
        <v>277.05434782608694</v>
      </c>
    </row>
    <row r="158" spans="1:9" ht="12.75" customHeight="1">
      <c r="A158" s="24" t="s">
        <v>77</v>
      </c>
      <c r="B158" s="5">
        <v>2003</v>
      </c>
      <c r="C158" s="5" t="s">
        <v>635</v>
      </c>
      <c r="D158" s="24"/>
      <c r="E158" s="24"/>
      <c r="F158" s="24">
        <v>17</v>
      </c>
      <c r="G158" s="87"/>
      <c r="H158" s="128">
        <v>4638</v>
      </c>
      <c r="I158" s="26">
        <f t="shared" si="5"/>
        <v>272.8235294117647</v>
      </c>
    </row>
    <row r="159" spans="1:9" ht="12.75" customHeight="1">
      <c r="A159" s="24" t="s">
        <v>77</v>
      </c>
      <c r="B159" s="5">
        <v>2003</v>
      </c>
      <c r="C159" s="24"/>
      <c r="D159" s="24" t="s">
        <v>482</v>
      </c>
      <c r="E159" s="24"/>
      <c r="F159" s="24">
        <v>0</v>
      </c>
      <c r="G159" s="87" t="s">
        <v>10</v>
      </c>
      <c r="H159" s="128">
        <v>91</v>
      </c>
      <c r="I159" s="59" t="s">
        <v>71</v>
      </c>
    </row>
    <row r="160" spans="2:9" ht="12.75" customHeight="1">
      <c r="B160" s="1"/>
      <c r="C160" s="1"/>
      <c r="D160" s="24"/>
      <c r="E160" s="24"/>
      <c r="F160" s="24"/>
      <c r="G160" s="87"/>
      <c r="H160" s="128"/>
      <c r="I160" s="26"/>
    </row>
    <row r="161" spans="1:9" ht="12.75" customHeight="1">
      <c r="A161" s="24" t="s">
        <v>77</v>
      </c>
      <c r="B161" s="5">
        <v>2004</v>
      </c>
      <c r="C161" s="5" t="s">
        <v>637</v>
      </c>
      <c r="D161" s="24" t="s">
        <v>42</v>
      </c>
      <c r="E161" s="24"/>
      <c r="F161" s="24">
        <v>546</v>
      </c>
      <c r="G161" s="87"/>
      <c r="H161" s="128">
        <v>168176</v>
      </c>
      <c r="I161" s="26">
        <f aca="true" t="shared" si="6" ref="I161:I166">$H161/$F161</f>
        <v>308.01465201465203</v>
      </c>
    </row>
    <row r="162" spans="1:9" ht="12.75" customHeight="1">
      <c r="A162" s="24" t="s">
        <v>77</v>
      </c>
      <c r="B162" s="5">
        <v>2004</v>
      </c>
      <c r="C162" s="5" t="s">
        <v>636</v>
      </c>
      <c r="D162" s="24"/>
      <c r="E162" s="24"/>
      <c r="F162" s="24">
        <v>197</v>
      </c>
      <c r="G162" s="87"/>
      <c r="H162" s="128">
        <v>56388</v>
      </c>
      <c r="I162" s="26">
        <f t="shared" si="6"/>
        <v>286.2335025380711</v>
      </c>
    </row>
    <row r="163" spans="1:9" ht="12.75" customHeight="1">
      <c r="A163" s="24" t="s">
        <v>77</v>
      </c>
      <c r="B163" s="5">
        <v>2004</v>
      </c>
      <c r="C163" s="5" t="s">
        <v>634</v>
      </c>
      <c r="D163" s="24"/>
      <c r="E163" s="24"/>
      <c r="F163" s="24">
        <v>143</v>
      </c>
      <c r="G163" s="87"/>
      <c r="H163" s="128">
        <v>40912</v>
      </c>
      <c r="I163" s="26">
        <f t="shared" si="6"/>
        <v>286.0979020979021</v>
      </c>
    </row>
    <row r="164" spans="1:9" ht="12.75" customHeight="1">
      <c r="A164" s="24" t="s">
        <v>77</v>
      </c>
      <c r="B164" s="5">
        <v>2004</v>
      </c>
      <c r="C164" s="24" t="s">
        <v>240</v>
      </c>
      <c r="D164" s="24"/>
      <c r="E164" s="24"/>
      <c r="F164" s="24">
        <v>121</v>
      </c>
      <c r="G164" s="87"/>
      <c r="H164" s="128">
        <v>33588</v>
      </c>
      <c r="I164" s="26">
        <f t="shared" si="6"/>
        <v>277.58677685950414</v>
      </c>
    </row>
    <row r="165" spans="1:9" ht="12.75" customHeight="1">
      <c r="A165" s="24" t="s">
        <v>77</v>
      </c>
      <c r="B165" s="5">
        <v>2004</v>
      </c>
      <c r="C165" s="5" t="s">
        <v>638</v>
      </c>
      <c r="D165" s="24"/>
      <c r="E165" s="24"/>
      <c r="F165" s="24">
        <v>81</v>
      </c>
      <c r="G165" s="87"/>
      <c r="H165" s="128">
        <v>25154</v>
      </c>
      <c r="I165" s="26">
        <f t="shared" si="6"/>
        <v>310.5432098765432</v>
      </c>
    </row>
    <row r="166" spans="1:9" ht="12.75" customHeight="1">
      <c r="A166" s="24" t="s">
        <v>77</v>
      </c>
      <c r="B166" s="5">
        <v>2004</v>
      </c>
      <c r="C166" s="5" t="s">
        <v>635</v>
      </c>
      <c r="D166" s="24"/>
      <c r="E166" s="24"/>
      <c r="F166" s="24">
        <v>10</v>
      </c>
      <c r="G166" s="87"/>
      <c r="H166" s="128">
        <v>2784</v>
      </c>
      <c r="I166" s="26">
        <f t="shared" si="6"/>
        <v>278.4</v>
      </c>
    </row>
    <row r="167" spans="1:9" ht="12.75" customHeight="1">
      <c r="A167" s="24" t="s">
        <v>77</v>
      </c>
      <c r="B167" s="5">
        <v>2004</v>
      </c>
      <c r="C167" s="24"/>
      <c r="D167" s="24" t="s">
        <v>482</v>
      </c>
      <c r="E167" s="24"/>
      <c r="F167" s="24">
        <v>0</v>
      </c>
      <c r="G167" s="87" t="s">
        <v>10</v>
      </c>
      <c r="H167" s="128">
        <v>148</v>
      </c>
      <c r="I167" s="59" t="s">
        <v>71</v>
      </c>
    </row>
    <row r="168" spans="1:9" s="175" customFormat="1" ht="12.75" customHeight="1">
      <c r="A168" s="156"/>
      <c r="B168" s="157"/>
      <c r="C168" s="156"/>
      <c r="D168" s="156"/>
      <c r="E168" s="156"/>
      <c r="F168" s="159"/>
      <c r="G168" s="163"/>
      <c r="H168" s="161"/>
      <c r="I168" s="159"/>
    </row>
    <row r="169" spans="1:14" ht="12.75" customHeight="1">
      <c r="A169" s="24" t="s">
        <v>165</v>
      </c>
      <c r="B169" s="5">
        <v>2003</v>
      </c>
      <c r="C169" s="24" t="s">
        <v>234</v>
      </c>
      <c r="D169" s="24" t="s">
        <v>42</v>
      </c>
      <c r="E169" s="24"/>
      <c r="F169" s="26">
        <v>917.075</v>
      </c>
      <c r="G169" s="87"/>
      <c r="H169" s="128">
        <f>243338.354</f>
        <v>243338.354</v>
      </c>
      <c r="I169" s="26">
        <f aca="true" t="shared" si="7" ref="I169:I186">$H169/$F169</f>
        <v>265.3418248234877</v>
      </c>
      <c r="K169" s="14"/>
      <c r="L169" s="14"/>
      <c r="M169" s="14"/>
      <c r="N169" s="14"/>
    </row>
    <row r="170" spans="1:14" ht="12.75" customHeight="1">
      <c r="A170" s="24" t="s">
        <v>165</v>
      </c>
      <c r="B170" s="5">
        <v>2003</v>
      </c>
      <c r="C170" s="24" t="s">
        <v>235</v>
      </c>
      <c r="D170" s="24"/>
      <c r="E170" s="24"/>
      <c r="F170" s="26">
        <v>109.907</v>
      </c>
      <c r="G170" s="87"/>
      <c r="H170" s="128">
        <f>41903.785</f>
        <v>41903.785</v>
      </c>
      <c r="I170" s="26">
        <f t="shared" si="7"/>
        <v>381.26584293994017</v>
      </c>
      <c r="K170" s="14"/>
      <c r="L170" s="14"/>
      <c r="M170" s="14"/>
      <c r="N170" s="14"/>
    </row>
    <row r="171" spans="1:14" ht="12.75" customHeight="1">
      <c r="A171" s="24" t="s">
        <v>165</v>
      </c>
      <c r="B171" s="5">
        <v>2003</v>
      </c>
      <c r="C171" s="24" t="s">
        <v>238</v>
      </c>
      <c r="D171" s="24"/>
      <c r="E171" s="24"/>
      <c r="F171" s="26">
        <v>50.214</v>
      </c>
      <c r="G171" s="87"/>
      <c r="H171" s="128">
        <f>15157.176</f>
        <v>15157.176</v>
      </c>
      <c r="I171" s="26">
        <f t="shared" si="7"/>
        <v>301.851595172661</v>
      </c>
      <c r="K171" s="14"/>
      <c r="L171" s="14"/>
      <c r="M171" s="14"/>
      <c r="N171" s="14"/>
    </row>
    <row r="172" spans="1:14" ht="12.75" customHeight="1">
      <c r="A172" s="24" t="s">
        <v>165</v>
      </c>
      <c r="B172" s="5">
        <v>2003</v>
      </c>
      <c r="C172" s="24" t="s">
        <v>247</v>
      </c>
      <c r="D172" s="24"/>
      <c r="E172" s="24"/>
      <c r="F172" s="26">
        <v>35.589</v>
      </c>
      <c r="G172" s="87"/>
      <c r="H172" s="128">
        <f>17618.352</f>
        <v>17618.352</v>
      </c>
      <c r="I172" s="26">
        <f t="shared" si="7"/>
        <v>495.0504931298997</v>
      </c>
      <c r="K172" s="14"/>
      <c r="L172" s="14"/>
      <c r="M172" s="14"/>
      <c r="N172" s="14"/>
    </row>
    <row r="173" spans="1:14" ht="12.75" customHeight="1">
      <c r="A173" s="24" t="s">
        <v>165</v>
      </c>
      <c r="B173" s="5">
        <v>2003</v>
      </c>
      <c r="C173" s="24" t="s">
        <v>233</v>
      </c>
      <c r="D173" s="24"/>
      <c r="E173" s="24"/>
      <c r="F173" s="26">
        <v>29.27</v>
      </c>
      <c r="G173" s="87"/>
      <c r="H173" s="128">
        <f>11239.204</f>
        <v>11239.204</v>
      </c>
      <c r="I173" s="26">
        <f t="shared" si="7"/>
        <v>383.98373761530576</v>
      </c>
      <c r="K173" s="14"/>
      <c r="L173" s="14"/>
      <c r="M173" s="14"/>
      <c r="N173" s="14"/>
    </row>
    <row r="174" spans="1:14" ht="12.75" customHeight="1">
      <c r="A174" s="24" t="s">
        <v>165</v>
      </c>
      <c r="B174" s="5">
        <v>2003</v>
      </c>
      <c r="C174" s="24" t="s">
        <v>240</v>
      </c>
      <c r="D174" s="24"/>
      <c r="E174" s="24"/>
      <c r="F174" s="26">
        <v>26.737</v>
      </c>
      <c r="G174" s="87"/>
      <c r="H174" s="128">
        <f>7761.026</f>
        <v>7761.026</v>
      </c>
      <c r="I174" s="26">
        <f t="shared" si="7"/>
        <v>290.2728802782661</v>
      </c>
      <c r="K174" s="14"/>
      <c r="L174" s="14"/>
      <c r="M174" s="14"/>
      <c r="N174" s="14"/>
    </row>
    <row r="175" spans="1:14" ht="12.75" customHeight="1">
      <c r="A175" s="24" t="s">
        <v>165</v>
      </c>
      <c r="B175" s="5">
        <v>2003</v>
      </c>
      <c r="C175" s="24" t="s">
        <v>244</v>
      </c>
      <c r="D175" s="24"/>
      <c r="E175" s="24"/>
      <c r="F175" s="26">
        <v>24.852</v>
      </c>
      <c r="G175" s="87"/>
      <c r="H175" s="128">
        <f>7761.623</f>
        <v>7761.623</v>
      </c>
      <c r="I175" s="26">
        <f t="shared" si="7"/>
        <v>312.3138178013842</v>
      </c>
      <c r="K175" s="14"/>
      <c r="L175" s="14"/>
      <c r="M175" s="14"/>
      <c r="N175" s="14"/>
    </row>
    <row r="176" spans="1:14" ht="12.75" customHeight="1">
      <c r="A176" s="24" t="s">
        <v>165</v>
      </c>
      <c r="B176" s="5">
        <v>2003</v>
      </c>
      <c r="C176" s="24" t="s">
        <v>239</v>
      </c>
      <c r="D176" s="24"/>
      <c r="E176" s="24"/>
      <c r="F176" s="26">
        <v>17.779</v>
      </c>
      <c r="G176" s="87"/>
      <c r="H176" s="128">
        <f>12831.814</f>
        <v>12831.814</v>
      </c>
      <c r="I176" s="26">
        <f t="shared" si="7"/>
        <v>721.7399178806457</v>
      </c>
      <c r="K176" s="14"/>
      <c r="L176" s="14"/>
      <c r="M176" s="14"/>
      <c r="N176" s="14"/>
    </row>
    <row r="177" spans="1:14" ht="12.75" customHeight="1">
      <c r="A177" s="24" t="s">
        <v>165</v>
      </c>
      <c r="B177" s="5">
        <v>2003</v>
      </c>
      <c r="C177" s="24" t="s">
        <v>245</v>
      </c>
      <c r="D177" s="24"/>
      <c r="E177" s="24"/>
      <c r="F177" s="26">
        <v>10.66</v>
      </c>
      <c r="G177" s="87"/>
      <c r="H177" s="128">
        <f>3594.493</f>
        <v>3594.493</v>
      </c>
      <c r="I177" s="26">
        <f t="shared" si="7"/>
        <v>337.19446529080676</v>
      </c>
      <c r="K177" s="14"/>
      <c r="L177" s="14"/>
      <c r="M177" s="14"/>
      <c r="N177" s="14"/>
    </row>
    <row r="178" spans="1:14" ht="12.75" customHeight="1">
      <c r="A178" s="24" t="s">
        <v>165</v>
      </c>
      <c r="B178" s="5">
        <v>2003</v>
      </c>
      <c r="C178" s="24" t="s">
        <v>231</v>
      </c>
      <c r="D178" s="24"/>
      <c r="E178" s="24"/>
      <c r="F178" s="26">
        <v>9.545</v>
      </c>
      <c r="G178" s="87"/>
      <c r="H178" s="128">
        <f>5017.361</f>
        <v>5017.361</v>
      </c>
      <c r="I178" s="26">
        <f t="shared" si="7"/>
        <v>525.6533263488737</v>
      </c>
      <c r="K178" s="14"/>
      <c r="L178" s="14"/>
      <c r="M178" s="14"/>
      <c r="N178" s="14"/>
    </row>
    <row r="179" spans="1:14" ht="12.75" customHeight="1">
      <c r="A179" s="24" t="s">
        <v>165</v>
      </c>
      <c r="B179" s="5">
        <v>2003</v>
      </c>
      <c r="C179" s="24" t="s">
        <v>232</v>
      </c>
      <c r="D179" s="24"/>
      <c r="E179" s="24"/>
      <c r="F179" s="26">
        <v>8.127</v>
      </c>
      <c r="G179" s="87"/>
      <c r="H179" s="128">
        <f>3885.559</f>
        <v>3885.559</v>
      </c>
      <c r="I179" s="26">
        <f t="shared" si="7"/>
        <v>478.10495877937734</v>
      </c>
      <c r="K179" s="14"/>
      <c r="L179" s="14"/>
      <c r="M179" s="14"/>
      <c r="N179" s="14"/>
    </row>
    <row r="180" spans="1:14" ht="12.75" customHeight="1">
      <c r="A180" s="24" t="s">
        <v>165</v>
      </c>
      <c r="B180" s="5">
        <v>2003</v>
      </c>
      <c r="C180" s="24" t="s">
        <v>246</v>
      </c>
      <c r="D180" s="24"/>
      <c r="E180" s="24"/>
      <c r="F180" s="26">
        <v>6.893</v>
      </c>
      <c r="G180" s="87"/>
      <c r="H180" s="128">
        <f>2337.632</f>
        <v>2337.632</v>
      </c>
      <c r="I180" s="26">
        <f t="shared" si="7"/>
        <v>339.1312926156971</v>
      </c>
      <c r="K180" s="14"/>
      <c r="L180" s="14"/>
      <c r="M180" s="14"/>
      <c r="N180" s="14"/>
    </row>
    <row r="181" spans="1:14" ht="12.75" customHeight="1">
      <c r="A181" s="24" t="s">
        <v>165</v>
      </c>
      <c r="B181" s="5">
        <v>2003</v>
      </c>
      <c r="C181" s="24" t="s">
        <v>237</v>
      </c>
      <c r="D181" s="24"/>
      <c r="E181" s="24"/>
      <c r="F181" s="26">
        <v>3.02</v>
      </c>
      <c r="G181" s="87"/>
      <c r="H181" s="128">
        <f>2039.633</f>
        <v>2039.633</v>
      </c>
      <c r="I181" s="26">
        <f t="shared" si="7"/>
        <v>675.3751655629139</v>
      </c>
      <c r="K181" s="14"/>
      <c r="L181" s="14"/>
      <c r="M181" s="14"/>
      <c r="N181" s="14"/>
    </row>
    <row r="182" spans="1:14" ht="12.75" customHeight="1">
      <c r="A182" s="24" t="s">
        <v>165</v>
      </c>
      <c r="B182" s="5">
        <v>2003</v>
      </c>
      <c r="C182" s="24" t="s">
        <v>236</v>
      </c>
      <c r="D182" s="24"/>
      <c r="E182" s="24"/>
      <c r="F182" s="26">
        <v>0.56</v>
      </c>
      <c r="G182" s="87"/>
      <c r="H182" s="128">
        <f>306.085</f>
        <v>306.085</v>
      </c>
      <c r="I182" s="26">
        <f t="shared" si="7"/>
        <v>546.5803571428571</v>
      </c>
      <c r="K182" s="14"/>
      <c r="L182" s="14"/>
      <c r="M182" s="14"/>
      <c r="N182" s="14"/>
    </row>
    <row r="183" spans="1:14" ht="12.75" customHeight="1">
      <c r="A183" s="24" t="s">
        <v>165</v>
      </c>
      <c r="B183" s="5">
        <v>2003</v>
      </c>
      <c r="C183" s="24" t="s">
        <v>248</v>
      </c>
      <c r="D183" s="24"/>
      <c r="E183" s="24"/>
      <c r="F183" s="26">
        <v>0.69</v>
      </c>
      <c r="G183" s="87"/>
      <c r="H183" s="128">
        <f>252.799</f>
        <v>252.799</v>
      </c>
      <c r="I183" s="26">
        <f t="shared" si="7"/>
        <v>366.37536231884064</v>
      </c>
      <c r="K183" s="14"/>
      <c r="L183" s="14"/>
      <c r="M183" s="14"/>
      <c r="N183" s="14"/>
    </row>
    <row r="184" spans="1:14" ht="12.75" customHeight="1">
      <c r="A184" s="24" t="s">
        <v>165</v>
      </c>
      <c r="B184" s="5">
        <v>2003</v>
      </c>
      <c r="C184" s="24" t="s">
        <v>241</v>
      </c>
      <c r="D184" s="24"/>
      <c r="E184" s="24"/>
      <c r="F184" s="26">
        <v>0.422</v>
      </c>
      <c r="G184" s="87" t="s">
        <v>10</v>
      </c>
      <c r="H184" s="128">
        <f>181.978</f>
        <v>181.978</v>
      </c>
      <c r="I184" s="26">
        <f t="shared" si="7"/>
        <v>431.2274881516588</v>
      </c>
      <c r="K184" s="14"/>
      <c r="L184" s="14"/>
      <c r="M184" s="14"/>
      <c r="N184" s="14"/>
    </row>
    <row r="185" spans="1:14" ht="12.75" customHeight="1">
      <c r="A185" s="24" t="s">
        <v>165</v>
      </c>
      <c r="B185" s="5">
        <v>2003</v>
      </c>
      <c r="C185" s="24" t="s">
        <v>242</v>
      </c>
      <c r="D185" s="24"/>
      <c r="E185" s="24"/>
      <c r="F185" s="26">
        <v>0.335</v>
      </c>
      <c r="G185" s="87" t="s">
        <v>10</v>
      </c>
      <c r="H185" s="128">
        <f>428.49</f>
        <v>428.49</v>
      </c>
      <c r="I185" s="26">
        <f t="shared" si="7"/>
        <v>1279.0746268656717</v>
      </c>
      <c r="K185" s="14"/>
      <c r="L185" s="14"/>
      <c r="M185" s="14"/>
      <c r="N185" s="14"/>
    </row>
    <row r="186" spans="1:14" ht="12.75" customHeight="1">
      <c r="A186" s="24" t="s">
        <v>165</v>
      </c>
      <c r="B186" s="5">
        <v>2003</v>
      </c>
      <c r="C186" s="24" t="s">
        <v>243</v>
      </c>
      <c r="D186" s="24"/>
      <c r="E186" s="24"/>
      <c r="F186" s="26">
        <v>0.172</v>
      </c>
      <c r="G186" s="87" t="s">
        <v>10</v>
      </c>
      <c r="H186" s="128">
        <f>234.431</f>
        <v>234.431</v>
      </c>
      <c r="I186" s="26">
        <f t="shared" si="7"/>
        <v>1362.9709302325582</v>
      </c>
      <c r="K186" s="14"/>
      <c r="L186" s="14"/>
      <c r="M186" s="14"/>
      <c r="N186" s="14"/>
    </row>
    <row r="187" spans="1:9" ht="3" customHeight="1">
      <c r="A187" s="24"/>
      <c r="C187" s="24"/>
      <c r="D187" s="24"/>
      <c r="E187" s="24"/>
      <c r="F187" s="24"/>
      <c r="G187" s="87"/>
      <c r="H187" s="128"/>
      <c r="I187" s="26"/>
    </row>
    <row r="188" spans="1:9" ht="12.75" customHeight="1">
      <c r="A188" s="24" t="s">
        <v>165</v>
      </c>
      <c r="B188" s="5">
        <v>2004</v>
      </c>
      <c r="C188" s="24" t="s">
        <v>234</v>
      </c>
      <c r="D188" s="24" t="s">
        <v>42</v>
      </c>
      <c r="E188" s="24"/>
      <c r="F188" s="26">
        <v>1346.777</v>
      </c>
      <c r="G188" s="87"/>
      <c r="H188" s="128">
        <v>401551.877</v>
      </c>
      <c r="I188" s="26">
        <f aca="true" t="shared" si="8" ref="I188:I205">$H188/$F188</f>
        <v>298.15765861757365</v>
      </c>
    </row>
    <row r="189" spans="1:9" ht="12.75" customHeight="1">
      <c r="A189" s="24" t="s">
        <v>165</v>
      </c>
      <c r="B189" s="5">
        <v>2004</v>
      </c>
      <c r="C189" s="24" t="s">
        <v>235</v>
      </c>
      <c r="D189" s="24"/>
      <c r="E189" s="24"/>
      <c r="F189" s="26">
        <v>196.431</v>
      </c>
      <c r="G189" s="87"/>
      <c r="H189" s="128">
        <v>73502.111</v>
      </c>
      <c r="I189" s="26">
        <f t="shared" si="8"/>
        <v>374.1879387673025</v>
      </c>
    </row>
    <row r="190" spans="1:9" ht="12.75" customHeight="1">
      <c r="A190" s="24" t="s">
        <v>165</v>
      </c>
      <c r="B190" s="5">
        <v>2004</v>
      </c>
      <c r="C190" s="24" t="s">
        <v>240</v>
      </c>
      <c r="D190" s="24"/>
      <c r="E190" s="24"/>
      <c r="F190" s="26">
        <v>72.026</v>
      </c>
      <c r="G190" s="87"/>
      <c r="H190" s="128">
        <v>20267.525</v>
      </c>
      <c r="I190" s="26">
        <f t="shared" si="8"/>
        <v>281.39178907616696</v>
      </c>
    </row>
    <row r="191" spans="1:9" ht="12.75" customHeight="1">
      <c r="A191" s="24" t="s">
        <v>165</v>
      </c>
      <c r="B191" s="5">
        <v>2004</v>
      </c>
      <c r="C191" s="24" t="s">
        <v>238</v>
      </c>
      <c r="D191" s="24"/>
      <c r="E191" s="24"/>
      <c r="F191" s="26">
        <v>70.159</v>
      </c>
      <c r="G191" s="87"/>
      <c r="H191" s="128">
        <v>26387.247</v>
      </c>
      <c r="I191" s="26">
        <f t="shared" si="8"/>
        <v>376.1063726677974</v>
      </c>
    </row>
    <row r="192" spans="1:9" ht="12.75" customHeight="1">
      <c r="A192" s="24" t="s">
        <v>165</v>
      </c>
      <c r="B192" s="5">
        <v>2004</v>
      </c>
      <c r="C192" s="24" t="s">
        <v>247</v>
      </c>
      <c r="D192" s="24"/>
      <c r="E192" s="24"/>
      <c r="F192" s="26">
        <v>50.413</v>
      </c>
      <c r="G192" s="87"/>
      <c r="H192" s="128">
        <v>21389.484</v>
      </c>
      <c r="I192" s="26">
        <f t="shared" si="8"/>
        <v>424.28508519627877</v>
      </c>
    </row>
    <row r="193" spans="1:9" ht="12.75" customHeight="1">
      <c r="A193" s="24" t="s">
        <v>165</v>
      </c>
      <c r="B193" s="5">
        <v>2004</v>
      </c>
      <c r="C193" s="24" t="s">
        <v>233</v>
      </c>
      <c r="D193" s="24"/>
      <c r="E193" s="24"/>
      <c r="F193" s="26">
        <v>30.086</v>
      </c>
      <c r="G193" s="87"/>
      <c r="H193" s="128">
        <v>13060.072</v>
      </c>
      <c r="I193" s="26">
        <f t="shared" si="8"/>
        <v>434.0913381639301</v>
      </c>
    </row>
    <row r="194" spans="1:9" ht="12.75" customHeight="1">
      <c r="A194" s="24" t="s">
        <v>165</v>
      </c>
      <c r="B194" s="5">
        <v>2004</v>
      </c>
      <c r="C194" s="24" t="s">
        <v>244</v>
      </c>
      <c r="D194" s="24"/>
      <c r="E194" s="24"/>
      <c r="F194" s="26">
        <v>29.837</v>
      </c>
      <c r="G194" s="87"/>
      <c r="H194" s="128">
        <v>9155.022</v>
      </c>
      <c r="I194" s="26">
        <f t="shared" si="8"/>
        <v>306.8345343030466</v>
      </c>
    </row>
    <row r="195" spans="1:9" ht="12.75" customHeight="1">
      <c r="A195" s="24" t="s">
        <v>165</v>
      </c>
      <c r="B195" s="5">
        <v>2004</v>
      </c>
      <c r="C195" s="24" t="s">
        <v>246</v>
      </c>
      <c r="D195" s="24"/>
      <c r="E195" s="24"/>
      <c r="F195" s="26">
        <v>27.684</v>
      </c>
      <c r="G195" s="87"/>
      <c r="H195" s="128">
        <v>6531.92</v>
      </c>
      <c r="I195" s="26">
        <f t="shared" si="8"/>
        <v>235.94567259066608</v>
      </c>
    </row>
    <row r="196" spans="1:9" ht="12.75" customHeight="1">
      <c r="A196" s="24" t="s">
        <v>165</v>
      </c>
      <c r="B196" s="5">
        <v>2004</v>
      </c>
      <c r="C196" s="24" t="s">
        <v>239</v>
      </c>
      <c r="D196" s="24"/>
      <c r="E196" s="24"/>
      <c r="F196" s="26">
        <v>24.433</v>
      </c>
      <c r="G196" s="87"/>
      <c r="H196" s="128">
        <v>29635.636</v>
      </c>
      <c r="I196" s="26">
        <f t="shared" si="8"/>
        <v>1212.9348012933328</v>
      </c>
    </row>
    <row r="197" spans="1:9" ht="12.75" customHeight="1">
      <c r="A197" s="24" t="s">
        <v>165</v>
      </c>
      <c r="B197" s="5">
        <v>2004</v>
      </c>
      <c r="C197" s="24" t="s">
        <v>245</v>
      </c>
      <c r="D197" s="24"/>
      <c r="E197" s="24"/>
      <c r="F197" s="26">
        <v>18.863</v>
      </c>
      <c r="G197" s="87"/>
      <c r="H197" s="128">
        <v>6065.326</v>
      </c>
      <c r="I197" s="26">
        <f t="shared" si="8"/>
        <v>321.5462015586068</v>
      </c>
    </row>
    <row r="198" spans="1:9" ht="12.75" customHeight="1">
      <c r="A198" s="24" t="s">
        <v>165</v>
      </c>
      <c r="B198" s="5">
        <v>2004</v>
      </c>
      <c r="C198" s="24" t="s">
        <v>231</v>
      </c>
      <c r="D198" s="24"/>
      <c r="E198" s="24"/>
      <c r="F198" s="26">
        <v>14.44</v>
      </c>
      <c r="G198" s="87"/>
      <c r="H198" s="128">
        <v>5962.206</v>
      </c>
      <c r="I198" s="26">
        <f t="shared" si="8"/>
        <v>412.89515235457066</v>
      </c>
    </row>
    <row r="199" spans="1:9" ht="12.75" customHeight="1">
      <c r="A199" s="24" t="s">
        <v>165</v>
      </c>
      <c r="B199" s="5">
        <v>2004</v>
      </c>
      <c r="C199" s="24" t="s">
        <v>232</v>
      </c>
      <c r="D199" s="24"/>
      <c r="E199" s="24"/>
      <c r="F199" s="26">
        <v>6.868</v>
      </c>
      <c r="G199" s="87"/>
      <c r="H199" s="128">
        <v>3941.152</v>
      </c>
      <c r="I199" s="26">
        <f t="shared" si="8"/>
        <v>573.8427489807804</v>
      </c>
    </row>
    <row r="200" spans="1:9" ht="12.75" customHeight="1">
      <c r="A200" s="24" t="s">
        <v>165</v>
      </c>
      <c r="B200" s="5">
        <v>2004</v>
      </c>
      <c r="C200" s="24" t="s">
        <v>237</v>
      </c>
      <c r="D200" s="24"/>
      <c r="E200" s="24"/>
      <c r="F200" s="26">
        <v>3.28</v>
      </c>
      <c r="G200" s="87"/>
      <c r="H200" s="128">
        <v>2382.328</v>
      </c>
      <c r="I200" s="26">
        <f t="shared" si="8"/>
        <v>726.319512195122</v>
      </c>
    </row>
    <row r="201" spans="1:9" ht="12.75" customHeight="1">
      <c r="A201" s="24" t="s">
        <v>165</v>
      </c>
      <c r="B201" s="5">
        <v>2004</v>
      </c>
      <c r="C201" s="24" t="s">
        <v>241</v>
      </c>
      <c r="D201" s="24"/>
      <c r="E201" s="24"/>
      <c r="F201" s="26">
        <v>1.771</v>
      </c>
      <c r="G201" s="87"/>
      <c r="H201" s="128">
        <v>1077.297</v>
      </c>
      <c r="I201" s="26">
        <f t="shared" si="8"/>
        <v>608.2987012987013</v>
      </c>
    </row>
    <row r="202" spans="1:9" ht="12.75" customHeight="1">
      <c r="A202" s="24" t="s">
        <v>165</v>
      </c>
      <c r="B202" s="5">
        <v>2004</v>
      </c>
      <c r="C202" s="24" t="s">
        <v>242</v>
      </c>
      <c r="D202" s="24"/>
      <c r="E202" s="24"/>
      <c r="F202" s="26">
        <v>1.312</v>
      </c>
      <c r="G202" s="87"/>
      <c r="H202" s="128">
        <v>902.072</v>
      </c>
      <c r="I202" s="26">
        <f t="shared" si="8"/>
        <v>687.5548780487804</v>
      </c>
    </row>
    <row r="203" spans="1:9" ht="12.75" customHeight="1">
      <c r="A203" s="24" t="s">
        <v>165</v>
      </c>
      <c r="B203" s="5">
        <v>2004</v>
      </c>
      <c r="C203" s="24" t="s">
        <v>243</v>
      </c>
      <c r="D203" s="24"/>
      <c r="E203" s="24"/>
      <c r="F203" s="26">
        <v>0.702</v>
      </c>
      <c r="G203" s="87"/>
      <c r="H203" s="128">
        <v>1118.795</v>
      </c>
      <c r="I203" s="26">
        <f t="shared" si="8"/>
        <v>1593.7250712250714</v>
      </c>
    </row>
    <row r="204" spans="1:9" ht="12.75" customHeight="1">
      <c r="A204" s="24" t="s">
        <v>165</v>
      </c>
      <c r="B204" s="5">
        <v>2004</v>
      </c>
      <c r="C204" s="24" t="s">
        <v>248</v>
      </c>
      <c r="D204" s="24"/>
      <c r="E204" s="24"/>
      <c r="F204" s="26">
        <v>0.531</v>
      </c>
      <c r="G204" s="87"/>
      <c r="H204" s="128">
        <v>340.894</v>
      </c>
      <c r="I204" s="26">
        <f t="shared" si="8"/>
        <v>641.984934086629</v>
      </c>
    </row>
    <row r="205" spans="1:9" ht="12.75" customHeight="1">
      <c r="A205" s="24" t="s">
        <v>165</v>
      </c>
      <c r="B205" s="5">
        <v>2004</v>
      </c>
      <c r="C205" s="24" t="s">
        <v>236</v>
      </c>
      <c r="D205" s="24"/>
      <c r="E205" s="24"/>
      <c r="F205" s="26">
        <v>0.352</v>
      </c>
      <c r="G205" s="87" t="s">
        <v>10</v>
      </c>
      <c r="H205" s="128">
        <v>221.748</v>
      </c>
      <c r="I205" s="26">
        <f t="shared" si="8"/>
        <v>629.9659090909091</v>
      </c>
    </row>
    <row r="206" spans="1:9" ht="12.75" customHeight="1">
      <c r="A206" s="24"/>
      <c r="C206" s="24"/>
      <c r="D206" s="24"/>
      <c r="E206" s="24"/>
      <c r="F206" s="26"/>
      <c r="G206" s="87"/>
      <c r="H206" s="128"/>
      <c r="I206" s="26"/>
    </row>
    <row r="207" spans="1:9" ht="12.75" customHeight="1">
      <c r="A207" s="1" t="s">
        <v>17</v>
      </c>
      <c r="B207" s="22">
        <v>2003</v>
      </c>
      <c r="C207" s="3" t="s">
        <v>11</v>
      </c>
      <c r="D207" s="11" t="s">
        <v>517</v>
      </c>
      <c r="E207" s="242"/>
      <c r="F207" s="331">
        <v>0.208</v>
      </c>
      <c r="G207" s="332" t="s">
        <v>10</v>
      </c>
      <c r="H207" s="363">
        <v>178000</v>
      </c>
      <c r="I207" s="365">
        <f>$H207/$F207/1000</f>
        <v>855.7692307692307</v>
      </c>
    </row>
    <row r="208" spans="1:9" ht="12.75" customHeight="1">
      <c r="A208" s="1" t="s">
        <v>17</v>
      </c>
      <c r="B208" s="22">
        <v>2003</v>
      </c>
      <c r="C208" s="3" t="s">
        <v>514</v>
      </c>
      <c r="D208" s="11" t="s">
        <v>515</v>
      </c>
      <c r="E208" s="243"/>
      <c r="F208" s="331"/>
      <c r="G208" s="332"/>
      <c r="H208" s="363"/>
      <c r="I208" s="365"/>
    </row>
    <row r="209" spans="1:9" ht="12.75" customHeight="1">
      <c r="A209" s="1" t="s">
        <v>17</v>
      </c>
      <c r="B209" s="22">
        <v>2003</v>
      </c>
      <c r="C209" s="3" t="s">
        <v>7</v>
      </c>
      <c r="D209" s="11" t="s">
        <v>516</v>
      </c>
      <c r="E209" s="243"/>
      <c r="F209" s="331"/>
      <c r="G209" s="332"/>
      <c r="H209" s="363"/>
      <c r="I209" s="365"/>
    </row>
    <row r="210" spans="1:9" ht="12.75" customHeight="1">
      <c r="A210" s="1" t="s">
        <v>17</v>
      </c>
      <c r="B210" s="22">
        <v>2003</v>
      </c>
      <c r="C210" s="31" t="s">
        <v>4</v>
      </c>
      <c r="D210" s="75" t="s">
        <v>447</v>
      </c>
      <c r="E210" s="244"/>
      <c r="F210" s="331"/>
      <c r="G210" s="332"/>
      <c r="H210" s="363"/>
      <c r="I210" s="365"/>
    </row>
    <row r="211" spans="2:9" ht="12.75" customHeight="1">
      <c r="B211" s="22"/>
      <c r="C211" s="31"/>
      <c r="D211" s="75"/>
      <c r="E211" s="10"/>
      <c r="F211" s="148"/>
      <c r="H211" s="135"/>
      <c r="I211" s="47"/>
    </row>
    <row r="212" spans="1:9" ht="12.75" customHeight="1">
      <c r="A212" s="1" t="s">
        <v>17</v>
      </c>
      <c r="B212" s="22">
        <v>2004</v>
      </c>
      <c r="C212" s="3" t="s">
        <v>11</v>
      </c>
      <c r="D212" s="11" t="s">
        <v>517</v>
      </c>
      <c r="E212" s="242"/>
      <c r="F212" s="331">
        <v>1</v>
      </c>
      <c r="G212" s="332"/>
      <c r="H212" s="363">
        <v>156600</v>
      </c>
      <c r="I212" s="365">
        <f>$H212/$F212/1000</f>
        <v>156.6</v>
      </c>
    </row>
    <row r="213" spans="1:9" ht="12.75" customHeight="1">
      <c r="A213" s="1" t="s">
        <v>17</v>
      </c>
      <c r="B213" s="22">
        <v>2004</v>
      </c>
      <c r="C213" s="3" t="s">
        <v>514</v>
      </c>
      <c r="D213" s="11" t="s">
        <v>515</v>
      </c>
      <c r="E213" s="243"/>
      <c r="F213" s="331"/>
      <c r="G213" s="332"/>
      <c r="H213" s="363"/>
      <c r="I213" s="365"/>
    </row>
    <row r="214" spans="1:9" ht="12.75" customHeight="1">
      <c r="A214" s="1" t="s">
        <v>17</v>
      </c>
      <c r="B214" s="22">
        <v>2004</v>
      </c>
      <c r="C214" s="3" t="s">
        <v>7</v>
      </c>
      <c r="D214" s="11" t="s">
        <v>516</v>
      </c>
      <c r="E214" s="243"/>
      <c r="F214" s="331"/>
      <c r="G214" s="332"/>
      <c r="H214" s="363"/>
      <c r="I214" s="365"/>
    </row>
    <row r="215" spans="1:9" ht="12.75" customHeight="1">
      <c r="A215" s="1" t="s">
        <v>17</v>
      </c>
      <c r="B215" s="22">
        <v>2004</v>
      </c>
      <c r="C215" s="31" t="s">
        <v>4</v>
      </c>
      <c r="D215" s="75" t="s">
        <v>447</v>
      </c>
      <c r="E215" s="244"/>
      <c r="F215" s="331"/>
      <c r="G215" s="332"/>
      <c r="H215" s="363"/>
      <c r="I215" s="365"/>
    </row>
    <row r="216" spans="2:9" ht="12.75" customHeight="1">
      <c r="B216" s="22"/>
      <c r="C216" s="31"/>
      <c r="D216" s="75"/>
      <c r="E216" s="10"/>
      <c r="F216" s="148"/>
      <c r="G216" s="89"/>
      <c r="H216" s="135"/>
      <c r="I216" s="47"/>
    </row>
    <row r="217" spans="1:9" ht="12.75" customHeight="1">
      <c r="A217" s="1" t="s">
        <v>192</v>
      </c>
      <c r="B217" s="22">
        <v>2003</v>
      </c>
      <c r="C217" s="9" t="s">
        <v>6</v>
      </c>
      <c r="D217" s="27" t="s">
        <v>323</v>
      </c>
      <c r="E217" s="10"/>
      <c r="F217" s="148">
        <v>11.658</v>
      </c>
      <c r="H217" s="135">
        <f>185.567543014453*100</f>
        <v>18556.7543014453</v>
      </c>
      <c r="I217" s="26">
        <f>$H217/$F217</f>
        <v>1591.7613914432409</v>
      </c>
    </row>
    <row r="218" spans="2:9" ht="12.75" customHeight="1">
      <c r="B218" s="22"/>
      <c r="C218" s="9"/>
      <c r="D218" s="27"/>
      <c r="E218" s="10"/>
      <c r="F218" s="148"/>
      <c r="H218" s="135"/>
      <c r="I218" s="47"/>
    </row>
    <row r="219" spans="1:9" ht="12.75" customHeight="1">
      <c r="A219" s="1" t="s">
        <v>192</v>
      </c>
      <c r="B219" s="22">
        <v>2004</v>
      </c>
      <c r="C219" s="9" t="s">
        <v>6</v>
      </c>
      <c r="D219" s="27" t="s">
        <v>323</v>
      </c>
      <c r="E219" s="10"/>
      <c r="F219" s="148">
        <v>12.63</v>
      </c>
      <c r="H219" s="135">
        <f>221.17842115028*100</f>
        <v>22117.842115028</v>
      </c>
      <c r="I219" s="26">
        <f>$H219/$F219</f>
        <v>1751.2147359483768</v>
      </c>
    </row>
    <row r="220" spans="2:9" ht="12.75" customHeight="1">
      <c r="B220" s="22"/>
      <c r="C220" s="31"/>
      <c r="D220" s="75"/>
      <c r="E220" s="10"/>
      <c r="F220" s="148"/>
      <c r="H220" s="135"/>
      <c r="I220" s="47"/>
    </row>
    <row r="221" spans="1:9" ht="12.75" customHeight="1">
      <c r="A221" s="24" t="s">
        <v>504</v>
      </c>
      <c r="B221" s="5">
        <v>2003</v>
      </c>
      <c r="C221" s="31" t="s">
        <v>506</v>
      </c>
      <c r="D221" s="27" t="s">
        <v>320</v>
      </c>
      <c r="E221" s="27"/>
      <c r="F221" s="27">
        <v>1</v>
      </c>
      <c r="G221" s="87"/>
      <c r="H221" s="128">
        <v>102</v>
      </c>
      <c r="I221" s="26">
        <f>$H221/$F221</f>
        <v>102</v>
      </c>
    </row>
    <row r="222" spans="1:9" ht="12.75" customHeight="1">
      <c r="A222" s="24"/>
      <c r="C222" s="24"/>
      <c r="D222" s="24"/>
      <c r="E222" s="24"/>
      <c r="F222" s="24"/>
      <c r="G222" s="87"/>
      <c r="H222" s="128"/>
      <c r="I222" s="26"/>
    </row>
    <row r="223" spans="1:9" ht="12.75" customHeight="1">
      <c r="A223" s="24" t="s">
        <v>504</v>
      </c>
      <c r="B223" s="5">
        <v>2004</v>
      </c>
      <c r="C223" s="31" t="s">
        <v>506</v>
      </c>
      <c r="D223" s="27" t="s">
        <v>320</v>
      </c>
      <c r="E223" s="27"/>
      <c r="F223" s="27">
        <v>1</v>
      </c>
      <c r="G223" s="87"/>
      <c r="H223" s="128">
        <v>113</v>
      </c>
      <c r="I223" s="26">
        <f>$H223/$F223</f>
        <v>113</v>
      </c>
    </row>
    <row r="224" spans="1:9" ht="12.75" customHeight="1">
      <c r="A224" s="24"/>
      <c r="C224" s="24"/>
      <c r="D224" s="24"/>
      <c r="E224" s="24"/>
      <c r="F224" s="24"/>
      <c r="G224" s="87"/>
      <c r="H224" s="128"/>
      <c r="I224" s="26"/>
    </row>
    <row r="225" spans="1:9" ht="12.75" customHeight="1">
      <c r="A225" s="24" t="s">
        <v>94</v>
      </c>
      <c r="B225" s="5">
        <v>2003</v>
      </c>
      <c r="C225" s="24" t="s">
        <v>135</v>
      </c>
      <c r="D225" s="24" t="s">
        <v>42</v>
      </c>
      <c r="E225" s="24"/>
      <c r="F225" s="26">
        <v>0.27304133999999997</v>
      </c>
      <c r="G225" s="87" t="s">
        <v>181</v>
      </c>
      <c r="H225" s="128">
        <v>90.091</v>
      </c>
      <c r="I225" s="149">
        <f>$H225/$F225</f>
        <v>329.9536985864485</v>
      </c>
    </row>
    <row r="226" spans="1:9" ht="12.75" customHeight="1">
      <c r="A226" s="24" t="s">
        <v>94</v>
      </c>
      <c r="B226" s="5">
        <v>2003</v>
      </c>
      <c r="C226" s="24" t="s">
        <v>136</v>
      </c>
      <c r="D226" s="24"/>
      <c r="E226" s="24"/>
      <c r="F226" s="26">
        <v>0.09822098000000001</v>
      </c>
      <c r="G226" s="87" t="s">
        <v>181</v>
      </c>
      <c r="H226" s="128">
        <v>314.842</v>
      </c>
      <c r="I226" s="149">
        <f>$H226/$F226</f>
        <v>3205.445516833572</v>
      </c>
    </row>
    <row r="227" spans="1:9" ht="12.75" customHeight="1">
      <c r="A227" s="24" t="s">
        <v>94</v>
      </c>
      <c r="B227" s="5">
        <v>2003</v>
      </c>
      <c r="C227" s="24" t="s">
        <v>138</v>
      </c>
      <c r="D227" s="24"/>
      <c r="E227" s="24"/>
      <c r="F227" s="26">
        <v>0.36160839</v>
      </c>
      <c r="G227" s="87" t="s">
        <v>181</v>
      </c>
      <c r="H227" s="128">
        <v>49.626</v>
      </c>
      <c r="I227" s="149">
        <f>$H227/$F227</f>
        <v>137.23686001865167</v>
      </c>
    </row>
    <row r="228" spans="1:9" ht="12.75" customHeight="1">
      <c r="A228" s="24"/>
      <c r="C228" s="24"/>
      <c r="D228" s="24"/>
      <c r="E228" s="24"/>
      <c r="F228" s="26"/>
      <c r="G228" s="87"/>
      <c r="H228" s="128"/>
      <c r="I228" s="149"/>
    </row>
    <row r="229" spans="1:9" ht="12.75" customHeight="1">
      <c r="A229" s="24" t="s">
        <v>94</v>
      </c>
      <c r="B229" s="5">
        <v>2004</v>
      </c>
      <c r="C229" s="24" t="s">
        <v>135</v>
      </c>
      <c r="D229" s="24" t="s">
        <v>42</v>
      </c>
      <c r="E229" s="24"/>
      <c r="F229" s="26">
        <v>4.80962053</v>
      </c>
      <c r="G229" s="87" t="s">
        <v>180</v>
      </c>
      <c r="H229" s="128">
        <v>1365.513</v>
      </c>
      <c r="I229" s="149">
        <f>$H229/$F229</f>
        <v>283.912835011123</v>
      </c>
    </row>
    <row r="230" spans="1:9" ht="12.75" customHeight="1">
      <c r="A230" s="24" t="s">
        <v>94</v>
      </c>
      <c r="B230" s="5">
        <v>2004</v>
      </c>
      <c r="C230" s="24" t="s">
        <v>138</v>
      </c>
      <c r="D230" s="24"/>
      <c r="E230" s="24"/>
      <c r="F230" s="26">
        <v>0.62892115</v>
      </c>
      <c r="G230" s="87" t="s">
        <v>180</v>
      </c>
      <c r="H230" s="128">
        <v>69.347</v>
      </c>
      <c r="I230" s="149">
        <f>$H230/$F230</f>
        <v>110.26342491423605</v>
      </c>
    </row>
    <row r="231" spans="1:9" ht="12.75" customHeight="1">
      <c r="A231" s="24" t="s">
        <v>94</v>
      </c>
      <c r="B231" s="5">
        <v>2004</v>
      </c>
      <c r="C231" s="24" t="s">
        <v>136</v>
      </c>
      <c r="D231" s="24"/>
      <c r="E231" s="24"/>
      <c r="F231" s="26">
        <v>0.31841238</v>
      </c>
      <c r="G231" s="87" t="s">
        <v>181</v>
      </c>
      <c r="H231" s="128">
        <v>798.902</v>
      </c>
      <c r="I231" s="149">
        <f>$H231/$F231</f>
        <v>2509.0167662450813</v>
      </c>
    </row>
    <row r="232" spans="1:9" ht="12.75" customHeight="1">
      <c r="A232" s="24" t="s">
        <v>94</v>
      </c>
      <c r="B232" s="5">
        <v>2004</v>
      </c>
      <c r="C232" s="24" t="s">
        <v>137</v>
      </c>
      <c r="D232" s="1"/>
      <c r="E232" s="24"/>
      <c r="F232" s="26">
        <v>0.16017859</v>
      </c>
      <c r="G232" s="87" t="s">
        <v>181</v>
      </c>
      <c r="H232" s="128">
        <v>58.672</v>
      </c>
      <c r="I232" s="149">
        <f>$H232/$F232</f>
        <v>366.2911503965667</v>
      </c>
    </row>
    <row r="233" spans="1:9" ht="12.75" customHeight="1">
      <c r="A233" s="24"/>
      <c r="C233" s="24"/>
      <c r="D233" s="24"/>
      <c r="E233" s="25"/>
      <c r="F233" s="26"/>
      <c r="G233" s="87"/>
      <c r="H233" s="128"/>
      <c r="I233" s="26"/>
    </row>
    <row r="234" spans="1:9" ht="12.75" customHeight="1">
      <c r="A234" s="24" t="s">
        <v>24</v>
      </c>
      <c r="B234" s="5">
        <v>2004</v>
      </c>
      <c r="C234" s="55" t="s">
        <v>467</v>
      </c>
      <c r="D234" s="27" t="s">
        <v>366</v>
      </c>
      <c r="E234" s="252"/>
      <c r="F234" s="352">
        <v>0</v>
      </c>
      <c r="G234" s="368" t="s">
        <v>10</v>
      </c>
      <c r="H234" s="354">
        <v>86</v>
      </c>
      <c r="I234" s="330" t="s">
        <v>71</v>
      </c>
    </row>
    <row r="235" spans="1:9" ht="12.75" customHeight="1">
      <c r="A235" s="24" t="s">
        <v>24</v>
      </c>
      <c r="B235" s="5">
        <v>2004</v>
      </c>
      <c r="C235" s="56" t="s">
        <v>467</v>
      </c>
      <c r="D235" s="27" t="s">
        <v>387</v>
      </c>
      <c r="E235" s="254"/>
      <c r="F235" s="352"/>
      <c r="G235" s="368"/>
      <c r="H235" s="354"/>
      <c r="I235" s="330"/>
    </row>
    <row r="236" spans="1:9" s="175" customFormat="1" ht="3" customHeight="1">
      <c r="A236" s="156"/>
      <c r="B236" s="157"/>
      <c r="C236" s="194"/>
      <c r="D236" s="156"/>
      <c r="E236" s="180"/>
      <c r="F236" s="198"/>
      <c r="G236" s="181"/>
      <c r="H236" s="182"/>
      <c r="I236" s="164"/>
    </row>
    <row r="237" spans="1:9" ht="12.75" customHeight="1">
      <c r="A237" s="24" t="s">
        <v>24</v>
      </c>
      <c r="B237" s="5">
        <v>2004</v>
      </c>
      <c r="C237" s="55"/>
      <c r="D237" s="27" t="s">
        <v>482</v>
      </c>
      <c r="E237" s="75"/>
      <c r="F237" s="82">
        <v>0</v>
      </c>
      <c r="G237" s="105" t="s">
        <v>10</v>
      </c>
      <c r="H237" s="256">
        <v>66</v>
      </c>
      <c r="I237" s="164" t="s">
        <v>71</v>
      </c>
    </row>
    <row r="238" spans="1:9" ht="12.75" customHeight="1">
      <c r="A238" s="24"/>
      <c r="C238" s="24"/>
      <c r="D238" s="24"/>
      <c r="E238" s="25"/>
      <c r="F238" s="26"/>
      <c r="G238" s="87"/>
      <c r="H238" s="128"/>
      <c r="I238" s="26"/>
    </row>
    <row r="239" spans="1:9" ht="12.75" customHeight="1">
      <c r="A239" s="24" t="s">
        <v>27</v>
      </c>
      <c r="B239" s="5">
        <v>2003</v>
      </c>
      <c r="C239" s="62"/>
      <c r="D239" s="8" t="s">
        <v>482</v>
      </c>
      <c r="E239" s="62"/>
      <c r="F239" s="26">
        <v>0.09</v>
      </c>
      <c r="G239" s="105" t="s">
        <v>10</v>
      </c>
      <c r="H239" s="128">
        <f>36.553</f>
        <v>36.553</v>
      </c>
      <c r="I239" s="26">
        <f>$H239/$F239</f>
        <v>406.14444444444445</v>
      </c>
    </row>
    <row r="240" spans="1:9" ht="12.75" customHeight="1">
      <c r="A240" s="24"/>
      <c r="C240" s="24"/>
      <c r="D240" s="24"/>
      <c r="E240" s="24"/>
      <c r="F240" s="26"/>
      <c r="G240" s="87"/>
      <c r="H240" s="128"/>
      <c r="I240" s="26"/>
    </row>
    <row r="241" spans="1:9" ht="3" customHeight="1">
      <c r="A241" s="24"/>
      <c r="C241" s="24"/>
      <c r="D241" s="24"/>
      <c r="E241" s="24"/>
      <c r="F241" s="26"/>
      <c r="G241" s="87"/>
      <c r="H241" s="128"/>
      <c r="I241" s="26"/>
    </row>
    <row r="242" spans="1:14" ht="12.75" customHeight="1">
      <c r="A242" s="24" t="s">
        <v>294</v>
      </c>
      <c r="B242" s="5">
        <v>2003</v>
      </c>
      <c r="C242" s="20" t="s">
        <v>23</v>
      </c>
      <c r="D242" s="10" t="s">
        <v>383</v>
      </c>
      <c r="E242" s="27"/>
      <c r="F242" s="90">
        <v>18.48548551724138</v>
      </c>
      <c r="G242" s="87"/>
      <c r="H242" s="128">
        <v>6990.533</v>
      </c>
      <c r="I242" s="26">
        <f>$H242/$F242</f>
        <v>378.1633429903663</v>
      </c>
      <c r="K242" s="14"/>
      <c r="L242" s="14"/>
      <c r="M242" s="14"/>
      <c r="N242" s="14"/>
    </row>
    <row r="243" spans="1:14" ht="12.75" customHeight="1">
      <c r="A243" s="24" t="s">
        <v>294</v>
      </c>
      <c r="B243" s="5">
        <v>2003</v>
      </c>
      <c r="C243" s="24" t="s">
        <v>62</v>
      </c>
      <c r="D243" s="24" t="s">
        <v>42</v>
      </c>
      <c r="E243" s="24"/>
      <c r="F243" s="26">
        <v>144.98241655172413</v>
      </c>
      <c r="G243" s="87"/>
      <c r="H243" s="128">
        <v>63998.731</v>
      </c>
      <c r="I243" s="26">
        <f>$H243/$F243</f>
        <v>441.4240879835778</v>
      </c>
      <c r="K243" s="14"/>
      <c r="L243" s="14"/>
      <c r="M243" s="14"/>
      <c r="N243" s="14"/>
    </row>
    <row r="244" spans="1:14" ht="12.75" customHeight="1">
      <c r="A244" s="24" t="s">
        <v>294</v>
      </c>
      <c r="B244" s="5">
        <v>2003</v>
      </c>
      <c r="C244" s="24" t="s">
        <v>300</v>
      </c>
      <c r="D244" s="1"/>
      <c r="E244" s="24"/>
      <c r="F244" s="26">
        <v>8.685361379310345</v>
      </c>
      <c r="G244" s="87"/>
      <c r="H244" s="128">
        <v>5225.054</v>
      </c>
      <c r="I244" s="26">
        <f>$H244/$F244</f>
        <v>601.5931602393373</v>
      </c>
      <c r="K244" s="14"/>
      <c r="L244" s="14"/>
      <c r="M244" s="14"/>
      <c r="N244" s="14"/>
    </row>
    <row r="245" spans="1:14" ht="12.75" customHeight="1">
      <c r="A245" s="24" t="s">
        <v>294</v>
      </c>
      <c r="B245" s="5">
        <v>2003</v>
      </c>
      <c r="C245" s="24" t="s">
        <v>302</v>
      </c>
      <c r="D245" s="24"/>
      <c r="E245" s="24"/>
      <c r="F245" s="26">
        <v>7.993548965517242</v>
      </c>
      <c r="G245" s="87"/>
      <c r="H245" s="128">
        <v>4073.214</v>
      </c>
      <c r="I245" s="26">
        <f>$H245/$F245</f>
        <v>509.56265077891254</v>
      </c>
      <c r="K245" s="14"/>
      <c r="L245" s="14"/>
      <c r="M245" s="14"/>
      <c r="N245" s="14"/>
    </row>
    <row r="246" spans="1:14" ht="12.75" customHeight="1">
      <c r="A246" s="24" t="s">
        <v>294</v>
      </c>
      <c r="B246" s="5">
        <v>2003</v>
      </c>
      <c r="C246" s="24" t="s">
        <v>301</v>
      </c>
      <c r="D246" s="24"/>
      <c r="E246" s="24"/>
      <c r="F246" s="26">
        <v>1.2172041379310345</v>
      </c>
      <c r="G246" s="87"/>
      <c r="H246" s="128">
        <v>1439.7123</v>
      </c>
      <c r="I246" s="26">
        <f>$H246/$F246</f>
        <v>1182.802666483847</v>
      </c>
      <c r="K246" s="14"/>
      <c r="L246" s="14"/>
      <c r="M246" s="14"/>
      <c r="N246" s="14"/>
    </row>
    <row r="247" spans="1:9" ht="12.75" customHeight="1">
      <c r="A247" s="24"/>
      <c r="C247" s="24"/>
      <c r="D247" s="24"/>
      <c r="E247" s="24"/>
      <c r="F247" s="26"/>
      <c r="G247" s="87"/>
      <c r="H247" s="128"/>
      <c r="I247" s="26"/>
    </row>
    <row r="248" spans="1:9" ht="12.75" customHeight="1">
      <c r="A248" s="24" t="s">
        <v>294</v>
      </c>
      <c r="B248" s="5">
        <v>2004</v>
      </c>
      <c r="C248" s="20" t="s">
        <v>23</v>
      </c>
      <c r="D248" s="10" t="s">
        <v>383</v>
      </c>
      <c r="E248" s="27"/>
      <c r="F248" s="90">
        <v>13.267297931034484</v>
      </c>
      <c r="G248" s="87"/>
      <c r="H248" s="128">
        <v>6276.315</v>
      </c>
      <c r="I248" s="26">
        <f>$H248/$F248</f>
        <v>473.06656054799396</v>
      </c>
    </row>
    <row r="249" spans="1:9" ht="12.75" customHeight="1">
      <c r="A249" s="24" t="s">
        <v>294</v>
      </c>
      <c r="B249" s="5">
        <v>2004</v>
      </c>
      <c r="C249" s="24" t="s">
        <v>62</v>
      </c>
      <c r="D249" s="24" t="s">
        <v>42</v>
      </c>
      <c r="E249" s="24"/>
      <c r="F249" s="26">
        <v>168.15800137931035</v>
      </c>
      <c r="G249" s="87"/>
      <c r="H249" s="128">
        <v>89192.593</v>
      </c>
      <c r="I249" s="26">
        <f>$H249/$F249</f>
        <v>530.4094498531188</v>
      </c>
    </row>
    <row r="250" spans="1:9" ht="12.75" customHeight="1">
      <c r="A250" s="24" t="s">
        <v>294</v>
      </c>
      <c r="B250" s="5">
        <v>2004</v>
      </c>
      <c r="C250" s="24" t="s">
        <v>302</v>
      </c>
      <c r="D250" s="24"/>
      <c r="E250" s="24"/>
      <c r="F250" s="26">
        <v>9.705856551724139</v>
      </c>
      <c r="G250" s="87"/>
      <c r="H250" s="128">
        <v>4891.52</v>
      </c>
      <c r="I250" s="26">
        <f>$H250/$F250</f>
        <v>503.97612760216157</v>
      </c>
    </row>
    <row r="251" spans="1:9" ht="12.75" customHeight="1">
      <c r="A251" s="24" t="s">
        <v>294</v>
      </c>
      <c r="B251" s="5">
        <v>2004</v>
      </c>
      <c r="C251" s="24" t="s">
        <v>300</v>
      </c>
      <c r="D251" s="1"/>
      <c r="E251" s="24"/>
      <c r="F251" s="26">
        <v>12.148961379310345</v>
      </c>
      <c r="G251" s="87"/>
      <c r="H251" s="128">
        <v>8108.809</v>
      </c>
      <c r="I251" s="26">
        <f>$H251/$F251</f>
        <v>667.4487428867199</v>
      </c>
    </row>
    <row r="252" spans="1:9" ht="12.75" customHeight="1">
      <c r="A252" s="24" t="s">
        <v>294</v>
      </c>
      <c r="B252" s="5">
        <v>2004</v>
      </c>
      <c r="C252" s="24" t="s">
        <v>301</v>
      </c>
      <c r="D252" s="24"/>
      <c r="E252" s="24"/>
      <c r="F252" s="26">
        <v>3.461827586206897</v>
      </c>
      <c r="G252" s="87"/>
      <c r="H252" s="128">
        <v>3227.845</v>
      </c>
      <c r="I252" s="26">
        <f>$H252/$F252</f>
        <v>932.4106760431503</v>
      </c>
    </row>
    <row r="253" spans="1:9" ht="12.75" customHeight="1">
      <c r="A253" s="24"/>
      <c r="C253" s="24"/>
      <c r="D253" s="24"/>
      <c r="E253" s="24"/>
      <c r="F253" s="26"/>
      <c r="G253" s="87"/>
      <c r="H253" s="128"/>
      <c r="I253" s="26"/>
    </row>
    <row r="254" spans="1:9" s="24" customFormat="1" ht="12.75" customHeight="1">
      <c r="A254" s="24" t="s">
        <v>182</v>
      </c>
      <c r="B254" s="5">
        <v>2004</v>
      </c>
      <c r="C254" s="55" t="s">
        <v>730</v>
      </c>
      <c r="D254" s="27" t="s">
        <v>435</v>
      </c>
      <c r="E254" s="252"/>
      <c r="F254" s="90"/>
      <c r="G254" s="87"/>
      <c r="H254" s="128"/>
      <c r="I254" s="26"/>
    </row>
    <row r="255" spans="1:9" s="24" customFormat="1" ht="12.75" customHeight="1">
      <c r="A255" s="24" t="s">
        <v>182</v>
      </c>
      <c r="B255" s="5">
        <v>2004</v>
      </c>
      <c r="C255" s="56" t="s">
        <v>729</v>
      </c>
      <c r="D255" s="27" t="s">
        <v>388</v>
      </c>
      <c r="E255" s="253"/>
      <c r="F255" s="90"/>
      <c r="G255" s="87"/>
      <c r="H255" s="128"/>
      <c r="I255" s="26"/>
    </row>
    <row r="256" spans="1:9" s="24" customFormat="1" ht="12.75" customHeight="1">
      <c r="A256" s="24" t="s">
        <v>182</v>
      </c>
      <c r="B256" s="5">
        <v>2004</v>
      </c>
      <c r="C256" s="55" t="s">
        <v>211</v>
      </c>
      <c r="D256" s="27" t="s">
        <v>436</v>
      </c>
      <c r="E256" s="253"/>
      <c r="F256" s="90">
        <v>0.055243073846153845</v>
      </c>
      <c r="G256" s="87" t="s">
        <v>10</v>
      </c>
      <c r="H256" s="128">
        <v>30.350732</v>
      </c>
      <c r="I256" s="59">
        <f>$H256/$F256</f>
        <v>549.4033891836576</v>
      </c>
    </row>
    <row r="257" spans="1:9" s="24" customFormat="1" ht="12.75" customHeight="1">
      <c r="A257" s="24" t="s">
        <v>182</v>
      </c>
      <c r="B257" s="5">
        <v>2004</v>
      </c>
      <c r="C257" s="56" t="s">
        <v>480</v>
      </c>
      <c r="D257" s="27" t="s">
        <v>389</v>
      </c>
      <c r="E257" s="253"/>
      <c r="F257" s="90"/>
      <c r="G257" s="87"/>
      <c r="H257" s="128"/>
      <c r="I257" s="26"/>
    </row>
    <row r="258" spans="1:9" s="24" customFormat="1" ht="12.75" customHeight="1">
      <c r="A258" s="24" t="s">
        <v>182</v>
      </c>
      <c r="B258" s="5">
        <v>2004</v>
      </c>
      <c r="C258" s="56" t="s">
        <v>731</v>
      </c>
      <c r="D258" s="27" t="s">
        <v>437</v>
      </c>
      <c r="E258" s="254"/>
      <c r="F258" s="90"/>
      <c r="G258" s="87"/>
      <c r="H258" s="128"/>
      <c r="I258" s="26"/>
    </row>
    <row r="259" spans="2:9" s="24" customFormat="1" ht="12.75" customHeight="1">
      <c r="B259" s="5"/>
      <c r="C259" s="56"/>
      <c r="D259" s="27"/>
      <c r="E259" s="75"/>
      <c r="F259" s="90"/>
      <c r="G259" s="87"/>
      <c r="H259" s="128"/>
      <c r="I259" s="26"/>
    </row>
    <row r="260" spans="1:9" ht="12.75" customHeight="1">
      <c r="A260" s="8" t="s">
        <v>67</v>
      </c>
      <c r="B260" s="5">
        <v>2003</v>
      </c>
      <c r="D260" s="11" t="s">
        <v>482</v>
      </c>
      <c r="F260" s="35">
        <v>0.041</v>
      </c>
      <c r="G260" s="86" t="s">
        <v>10</v>
      </c>
      <c r="H260" s="138">
        <v>22.058</v>
      </c>
      <c r="I260" s="14">
        <f>$H260/$F260</f>
        <v>538</v>
      </c>
    </row>
    <row r="261" ht="12.75" customHeight="1">
      <c r="H261" s="138"/>
    </row>
    <row r="262" spans="1:9" ht="12.75" customHeight="1">
      <c r="A262" s="8" t="s">
        <v>67</v>
      </c>
      <c r="B262" s="5">
        <v>2004</v>
      </c>
      <c r="D262" s="11" t="s">
        <v>482</v>
      </c>
      <c r="F262" s="35">
        <v>3.497</v>
      </c>
      <c r="G262" s="87"/>
      <c r="H262" s="138">
        <v>1682.504</v>
      </c>
      <c r="I262" s="14">
        <f>$H262/$F262</f>
        <v>481.12782384901345</v>
      </c>
    </row>
    <row r="263" ht="12.75" customHeight="1"/>
  </sheetData>
  <mergeCells count="40">
    <mergeCell ref="F207:F210"/>
    <mergeCell ref="H207:H210"/>
    <mergeCell ref="I207:I210"/>
    <mergeCell ref="F212:F215"/>
    <mergeCell ref="H212:H215"/>
    <mergeCell ref="I212:I215"/>
    <mergeCell ref="G207:G210"/>
    <mergeCell ref="G212:G215"/>
    <mergeCell ref="F234:F235"/>
    <mergeCell ref="G234:G235"/>
    <mergeCell ref="H234:H235"/>
    <mergeCell ref="I234:I235"/>
    <mergeCell ref="E46:E51"/>
    <mergeCell ref="F46:F51"/>
    <mergeCell ref="I46:I51"/>
    <mergeCell ref="E55:E60"/>
    <mergeCell ref="F55:F60"/>
    <mergeCell ref="I55:I60"/>
    <mergeCell ref="H46:H51"/>
    <mergeCell ref="H55:H60"/>
    <mergeCell ref="F115:F117"/>
    <mergeCell ref="I115:I117"/>
    <mergeCell ref="F121:F123"/>
    <mergeCell ref="I121:I123"/>
    <mergeCell ref="H115:H117"/>
    <mergeCell ref="H121:H123"/>
    <mergeCell ref="F87:F94"/>
    <mergeCell ref="H87:H94"/>
    <mergeCell ref="I87:I94"/>
    <mergeCell ref="G87:G94"/>
    <mergeCell ref="H67:H69"/>
    <mergeCell ref="I67:I69"/>
    <mergeCell ref="F73:F75"/>
    <mergeCell ref="H73:H75"/>
    <mergeCell ref="I73:I75"/>
    <mergeCell ref="F67:F69"/>
    <mergeCell ref="F98:F105"/>
    <mergeCell ref="H98:H105"/>
    <mergeCell ref="I98:I105"/>
    <mergeCell ref="G98:G105"/>
  </mergeCells>
  <printOptions horizontalCentered="1"/>
  <pageMargins left="0.5905511811023623" right="0.5905511811023623" top="0.7874015748031497" bottom="0.5905511811023623" header="0.5118110236220472" footer="0.5118110236220472"/>
  <pageSetup fitToHeight="25" horizontalDpi="600" verticalDpi="600" orientation="portrait" paperSize="9" scale="93" r:id="rId1"/>
  <rowBreaks count="4" manualBreakCount="4">
    <brk id="65" max="8" man="1"/>
    <brk id="126" max="255" man="1"/>
    <brk id="186" max="255" man="1"/>
    <brk id="2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5"/>
  <sheetViews>
    <sheetView view="pageBreakPreview" zoomScale="115" zoomScaleNormal="90" zoomScaleSheetLayoutView="115"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2" width="5.8515625" style="5" customWidth="1"/>
    <col min="3" max="3" width="29.140625" style="3" bestFit="1" customWidth="1"/>
    <col min="4" max="4" width="22.421875" style="11" customWidth="1"/>
    <col min="5" max="5" width="1.7109375" style="17" customWidth="1"/>
    <col min="6" max="6" width="8.7109375" style="35" customWidth="1"/>
    <col min="7" max="7" width="3.140625" style="86" customWidth="1"/>
    <col min="8" max="8" width="8.7109375" style="138" hidden="1" customWidth="1"/>
    <col min="9" max="9" width="8.7109375" style="14" customWidth="1"/>
    <col min="10" max="10" width="7.140625" style="1" customWidth="1"/>
    <col min="11" max="15" width="6.00390625" style="1" customWidth="1"/>
    <col min="16" max="16384" width="9.140625" style="1" customWidth="1"/>
  </cols>
  <sheetData>
    <row r="1" spans="1:9" s="58" customFormat="1" ht="19.5" customHeight="1">
      <c r="A1" s="108" t="s">
        <v>37</v>
      </c>
      <c r="B1" s="108"/>
      <c r="C1" s="108"/>
      <c r="D1" s="108"/>
      <c r="E1" s="108"/>
      <c r="F1" s="110"/>
      <c r="G1" s="118"/>
      <c r="H1" s="23"/>
      <c r="I1" s="111"/>
    </row>
    <row r="2" spans="1:9" s="11" customFormat="1" ht="15.75">
      <c r="A2" s="6" t="s">
        <v>0</v>
      </c>
      <c r="B2" s="32" t="s">
        <v>31</v>
      </c>
      <c r="C2" s="6" t="s">
        <v>29</v>
      </c>
      <c r="D2" s="6" t="s">
        <v>41</v>
      </c>
      <c r="E2" s="6"/>
      <c r="F2" s="12" t="s">
        <v>1</v>
      </c>
      <c r="G2" s="117"/>
      <c r="H2" s="122" t="s">
        <v>306</v>
      </c>
      <c r="I2" s="51" t="s">
        <v>2</v>
      </c>
    </row>
    <row r="3" spans="1:9" s="11" customFormat="1" ht="15.75">
      <c r="A3" s="152"/>
      <c r="B3" s="54"/>
      <c r="C3" s="152" t="s">
        <v>28</v>
      </c>
      <c r="D3" s="152"/>
      <c r="E3" s="152"/>
      <c r="F3" s="147" t="s">
        <v>91</v>
      </c>
      <c r="G3" s="114"/>
      <c r="H3" s="122" t="s">
        <v>305</v>
      </c>
      <c r="I3" s="147" t="s">
        <v>92</v>
      </c>
    </row>
    <row r="4" spans="1:9" ht="3" customHeight="1">
      <c r="A4" s="10"/>
      <c r="B4" s="36"/>
      <c r="C4" s="10"/>
      <c r="D4" s="10"/>
      <c r="E4" s="10"/>
      <c r="F4" s="52"/>
      <c r="G4" s="79"/>
      <c r="H4" s="130"/>
      <c r="I4" s="18"/>
    </row>
    <row r="5" spans="1:9" s="24" customFormat="1" ht="12.75" customHeight="1">
      <c r="A5" s="25" t="s">
        <v>17</v>
      </c>
      <c r="B5" s="22">
        <v>2003</v>
      </c>
      <c r="C5" s="31" t="s">
        <v>4</v>
      </c>
      <c r="D5" s="75" t="s">
        <v>447</v>
      </c>
      <c r="E5" s="75"/>
      <c r="F5" s="148">
        <v>25</v>
      </c>
      <c r="G5" s="83"/>
      <c r="H5" s="319">
        <v>7230000</v>
      </c>
      <c r="I5" s="46">
        <f>$H5/$F5/1000</f>
        <v>289.2</v>
      </c>
    </row>
    <row r="6" spans="1:9" s="24" customFormat="1" ht="12.75" customHeight="1">
      <c r="A6" s="25" t="s">
        <v>17</v>
      </c>
      <c r="B6" s="22">
        <v>2003</v>
      </c>
      <c r="C6" s="31" t="s">
        <v>7</v>
      </c>
      <c r="D6" s="75" t="s">
        <v>448</v>
      </c>
      <c r="E6" s="75"/>
      <c r="F6" s="148">
        <v>12</v>
      </c>
      <c r="G6" s="83"/>
      <c r="H6" s="319">
        <v>6455000</v>
      </c>
      <c r="I6" s="46">
        <f>$H6/$F6/1000</f>
        <v>537.9166666666666</v>
      </c>
    </row>
    <row r="7" spans="1:9" s="24" customFormat="1" ht="12.75" customHeight="1">
      <c r="A7" s="25" t="s">
        <v>17</v>
      </c>
      <c r="B7" s="22">
        <v>2003</v>
      </c>
      <c r="C7" s="31" t="s">
        <v>185</v>
      </c>
      <c r="D7" s="75" t="s">
        <v>391</v>
      </c>
      <c r="E7" s="75"/>
      <c r="F7" s="148">
        <v>7</v>
      </c>
      <c r="G7" s="83"/>
      <c r="H7" s="319">
        <v>3800000</v>
      </c>
      <c r="I7" s="46">
        <f>$H7/$F7/1000</f>
        <v>542.8571428571429</v>
      </c>
    </row>
    <row r="8" spans="1:9" s="24" customFormat="1" ht="12.75" customHeight="1">
      <c r="A8" s="25" t="s">
        <v>17</v>
      </c>
      <c r="B8" s="22">
        <v>2003</v>
      </c>
      <c r="C8" s="31" t="s">
        <v>90</v>
      </c>
      <c r="D8" s="75" t="s">
        <v>392</v>
      </c>
      <c r="E8" s="75"/>
      <c r="F8" s="148">
        <v>4</v>
      </c>
      <c r="G8" s="83"/>
      <c r="H8" s="319">
        <v>1990000</v>
      </c>
      <c r="I8" s="46">
        <f>$H8/$F8/1000</f>
        <v>497.5</v>
      </c>
    </row>
    <row r="9" spans="1:9" s="24" customFormat="1" ht="12.75" customHeight="1">
      <c r="A9" s="25" t="s">
        <v>17</v>
      </c>
      <c r="B9" s="22">
        <v>2003</v>
      </c>
      <c r="C9" s="31"/>
      <c r="D9" s="75" t="s">
        <v>482</v>
      </c>
      <c r="E9" s="75"/>
      <c r="F9" s="148">
        <v>21.716</v>
      </c>
      <c r="G9" s="83"/>
      <c r="H9" s="319">
        <v>4759000</v>
      </c>
      <c r="I9" s="46">
        <f>$H9/$F9/1000</f>
        <v>219.1471725916375</v>
      </c>
    </row>
    <row r="10" spans="1:9" s="24" customFormat="1" ht="12.75" customHeight="1">
      <c r="A10" s="25"/>
      <c r="B10" s="22"/>
      <c r="C10" s="31"/>
      <c r="D10" s="75"/>
      <c r="E10" s="75"/>
      <c r="F10" s="148"/>
      <c r="G10" s="83"/>
      <c r="H10" s="319"/>
      <c r="I10" s="259"/>
    </row>
    <row r="11" spans="1:9" s="24" customFormat="1" ht="12.75" customHeight="1">
      <c r="A11" s="25" t="s">
        <v>17</v>
      </c>
      <c r="B11" s="22">
        <v>2004</v>
      </c>
      <c r="C11" s="31" t="s">
        <v>185</v>
      </c>
      <c r="D11" s="75" t="s">
        <v>391</v>
      </c>
      <c r="E11" s="252"/>
      <c r="F11" s="352">
        <f>81.256+35.937+6.994+9.864+18.83</f>
        <v>152.88099999999997</v>
      </c>
      <c r="G11" s="102"/>
      <c r="H11" s="333">
        <v>29350400</v>
      </c>
      <c r="I11" s="350">
        <f>$H11/$F11/1000</f>
        <v>191.98199907117305</v>
      </c>
    </row>
    <row r="12" spans="1:9" s="24" customFormat="1" ht="12.75" customHeight="1">
      <c r="A12" s="25" t="s">
        <v>17</v>
      </c>
      <c r="B12" s="22">
        <v>2004</v>
      </c>
      <c r="C12" s="31" t="s">
        <v>7</v>
      </c>
      <c r="D12" s="75" t="s">
        <v>448</v>
      </c>
      <c r="E12" s="253"/>
      <c r="F12" s="352"/>
      <c r="G12" s="102"/>
      <c r="H12" s="333"/>
      <c r="I12" s="350"/>
    </row>
    <row r="13" spans="1:9" s="24" customFormat="1" ht="12.75" customHeight="1">
      <c r="A13" s="25" t="s">
        <v>17</v>
      </c>
      <c r="B13" s="22">
        <v>2004</v>
      </c>
      <c r="C13" s="31" t="s">
        <v>4</v>
      </c>
      <c r="D13" s="75" t="s">
        <v>447</v>
      </c>
      <c r="E13" s="253"/>
      <c r="F13" s="352"/>
      <c r="G13" s="102"/>
      <c r="H13" s="333"/>
      <c r="I13" s="350"/>
    </row>
    <row r="14" spans="1:9" s="24" customFormat="1" ht="12.75" customHeight="1">
      <c r="A14" s="25" t="s">
        <v>17</v>
      </c>
      <c r="B14" s="22">
        <v>2004</v>
      </c>
      <c r="C14" s="3" t="s">
        <v>513</v>
      </c>
      <c r="D14" s="75" t="s">
        <v>512</v>
      </c>
      <c r="E14" s="253"/>
      <c r="F14" s="352"/>
      <c r="G14" s="102"/>
      <c r="H14" s="333"/>
      <c r="I14" s="350"/>
    </row>
    <row r="15" spans="1:9" s="24" customFormat="1" ht="12.75" customHeight="1">
      <c r="A15" s="25" t="s">
        <v>17</v>
      </c>
      <c r="B15" s="22">
        <v>2004</v>
      </c>
      <c r="C15" s="31"/>
      <c r="D15" s="75" t="s">
        <v>482</v>
      </c>
      <c r="E15" s="254"/>
      <c r="F15" s="352"/>
      <c r="G15" s="321"/>
      <c r="H15" s="333"/>
      <c r="I15" s="350"/>
    </row>
    <row r="16" spans="1:9" s="24" customFormat="1" ht="12.75" customHeight="1">
      <c r="A16" s="25"/>
      <c r="B16" s="22"/>
      <c r="C16" s="9"/>
      <c r="D16" s="75"/>
      <c r="E16" s="75"/>
      <c r="F16" s="322"/>
      <c r="G16" s="83"/>
      <c r="H16" s="319"/>
      <c r="I16" s="259"/>
    </row>
    <row r="17" spans="1:9" s="24" customFormat="1" ht="12.75" customHeight="1">
      <c r="A17" s="25" t="s">
        <v>685</v>
      </c>
      <c r="B17" s="22">
        <v>2003</v>
      </c>
      <c r="C17" s="31" t="s">
        <v>4</v>
      </c>
      <c r="D17" s="75" t="s">
        <v>394</v>
      </c>
      <c r="E17" s="75"/>
      <c r="F17" s="82">
        <v>78</v>
      </c>
      <c r="G17" s="83"/>
      <c r="H17" s="127">
        <f>58505/373379*138722.659</f>
        <v>21736.544274838707</v>
      </c>
      <c r="I17" s="46">
        <f aca="true" t="shared" si="0" ref="I17:I22">$H17/$F17</f>
        <v>278.6736445492142</v>
      </c>
    </row>
    <row r="18" spans="1:9" s="24" customFormat="1" ht="12.75" customHeight="1">
      <c r="A18" s="25" t="s">
        <v>685</v>
      </c>
      <c r="B18" s="22">
        <v>2003</v>
      </c>
      <c r="C18" s="31" t="s">
        <v>3</v>
      </c>
      <c r="D18" s="75" t="s">
        <v>325</v>
      </c>
      <c r="E18" s="75"/>
      <c r="F18" s="82">
        <v>41</v>
      </c>
      <c r="G18" s="83"/>
      <c r="H18" s="127">
        <f>58505/373379*102424.137</f>
        <v>16048.905094247402</v>
      </c>
      <c r="I18" s="46">
        <f t="shared" si="0"/>
        <v>391.4367096157903</v>
      </c>
    </row>
    <row r="19" spans="1:9" s="24" customFormat="1" ht="12.75" customHeight="1">
      <c r="A19" s="25" t="s">
        <v>685</v>
      </c>
      <c r="B19" s="22">
        <v>2003</v>
      </c>
      <c r="C19" s="31" t="s">
        <v>73</v>
      </c>
      <c r="D19" s="75" t="s">
        <v>395</v>
      </c>
      <c r="E19" s="75"/>
      <c r="F19" s="82">
        <v>21</v>
      </c>
      <c r="G19" s="83"/>
      <c r="H19" s="127">
        <f>58505/373379*107289.741</f>
        <v>16811.299771023543</v>
      </c>
      <c r="I19" s="46">
        <f t="shared" si="0"/>
        <v>800.5380843344544</v>
      </c>
    </row>
    <row r="20" spans="1:9" s="24" customFormat="1" ht="12.75" customHeight="1">
      <c r="A20" s="25" t="s">
        <v>685</v>
      </c>
      <c r="B20" s="22">
        <v>2003</v>
      </c>
      <c r="C20" s="31" t="s">
        <v>9</v>
      </c>
      <c r="D20" s="75" t="s">
        <v>332</v>
      </c>
      <c r="E20" s="75"/>
      <c r="F20" s="82">
        <v>6</v>
      </c>
      <c r="G20" s="83"/>
      <c r="H20" s="127">
        <f>58505/373379*19252.542</f>
        <v>3016.693412618278</v>
      </c>
      <c r="I20" s="46">
        <f t="shared" si="0"/>
        <v>502.7822354363797</v>
      </c>
    </row>
    <row r="21" spans="1:9" s="24" customFormat="1" ht="12.75" customHeight="1">
      <c r="A21" s="25" t="s">
        <v>685</v>
      </c>
      <c r="B21" s="22">
        <v>2003</v>
      </c>
      <c r="C21" s="31" t="s">
        <v>18</v>
      </c>
      <c r="D21" s="75" t="s">
        <v>320</v>
      </c>
      <c r="E21" s="75"/>
      <c r="F21" s="82">
        <v>2</v>
      </c>
      <c r="G21" s="83"/>
      <c r="H21" s="127">
        <f>58505/373379*5258.395</f>
        <v>823.9413557671965</v>
      </c>
      <c r="I21" s="46">
        <f t="shared" si="0"/>
        <v>411.9706778835982</v>
      </c>
    </row>
    <row r="22" spans="1:9" s="24" customFormat="1" ht="12.75" customHeight="1">
      <c r="A22" s="25" t="s">
        <v>685</v>
      </c>
      <c r="B22" s="22">
        <v>2003</v>
      </c>
      <c r="C22" s="31" t="s">
        <v>90</v>
      </c>
      <c r="D22" s="75" t="s">
        <v>392</v>
      </c>
      <c r="E22" s="75"/>
      <c r="F22" s="82">
        <v>0.2</v>
      </c>
      <c r="G22" s="83" t="s">
        <v>10</v>
      </c>
      <c r="H22" s="127">
        <f>58505/373379*431.3</f>
        <v>67.58067941689276</v>
      </c>
      <c r="I22" s="46">
        <f t="shared" si="0"/>
        <v>337.9033970844638</v>
      </c>
    </row>
    <row r="23" spans="1:9" s="24" customFormat="1" ht="12.75" customHeight="1">
      <c r="A23" s="25"/>
      <c r="B23" s="22"/>
      <c r="C23" s="55"/>
      <c r="D23" s="75"/>
      <c r="E23" s="75"/>
      <c r="F23" s="82"/>
      <c r="G23" s="83"/>
      <c r="H23" s="137"/>
      <c r="I23" s="68"/>
    </row>
    <row r="24" spans="1:9" s="24" customFormat="1" ht="12.75" customHeight="1">
      <c r="A24" s="25" t="s">
        <v>186</v>
      </c>
      <c r="B24" s="22">
        <v>2003</v>
      </c>
      <c r="C24" s="28" t="s">
        <v>6</v>
      </c>
      <c r="D24" s="75" t="s">
        <v>323</v>
      </c>
      <c r="E24" s="75"/>
      <c r="F24" s="27">
        <v>348</v>
      </c>
      <c r="G24" s="83"/>
      <c r="H24" s="121">
        <v>65763</v>
      </c>
      <c r="I24" s="46">
        <f aca="true" t="shared" si="1" ref="I24:I33">$H24/$F24</f>
        <v>188.97413793103448</v>
      </c>
    </row>
    <row r="25" spans="1:9" s="24" customFormat="1" ht="12.75" customHeight="1">
      <c r="A25" s="25" t="s">
        <v>186</v>
      </c>
      <c r="B25" s="22">
        <v>2003</v>
      </c>
      <c r="C25" s="31" t="s">
        <v>3</v>
      </c>
      <c r="D25" s="75" t="s">
        <v>325</v>
      </c>
      <c r="E25" s="75"/>
      <c r="F25" s="27">
        <v>211</v>
      </c>
      <c r="G25" s="83"/>
      <c r="H25" s="121">
        <v>47225</v>
      </c>
      <c r="I25" s="46">
        <f t="shared" si="1"/>
        <v>223.81516587677726</v>
      </c>
    </row>
    <row r="26" spans="1:9" s="24" customFormat="1" ht="12.75" customHeight="1">
      <c r="A26" s="25" t="s">
        <v>186</v>
      </c>
      <c r="B26" s="22">
        <v>2003</v>
      </c>
      <c r="C26" s="31" t="s">
        <v>9</v>
      </c>
      <c r="D26" s="75" t="s">
        <v>332</v>
      </c>
      <c r="E26" s="75"/>
      <c r="F26" s="27">
        <v>38</v>
      </c>
      <c r="G26" s="83"/>
      <c r="H26" s="121">
        <v>9603</v>
      </c>
      <c r="I26" s="46">
        <f t="shared" si="1"/>
        <v>252.71052631578948</v>
      </c>
    </row>
    <row r="27" spans="1:9" s="24" customFormat="1" ht="12.75" customHeight="1">
      <c r="A27" s="25" t="s">
        <v>186</v>
      </c>
      <c r="B27" s="22">
        <v>2003</v>
      </c>
      <c r="C27" s="31" t="s">
        <v>18</v>
      </c>
      <c r="D27" s="75" t="s">
        <v>397</v>
      </c>
      <c r="E27" s="75"/>
      <c r="F27" s="27">
        <v>28</v>
      </c>
      <c r="G27" s="83"/>
      <c r="H27" s="121">
        <v>6193</v>
      </c>
      <c r="I27" s="46">
        <f t="shared" si="1"/>
        <v>221.17857142857142</v>
      </c>
    </row>
    <row r="28" spans="1:9" s="24" customFormat="1" ht="12.75" customHeight="1">
      <c r="A28" s="25" t="s">
        <v>186</v>
      </c>
      <c r="B28" s="22">
        <v>2003</v>
      </c>
      <c r="C28" s="31" t="s">
        <v>76</v>
      </c>
      <c r="D28" s="27" t="s">
        <v>451</v>
      </c>
      <c r="E28" s="75"/>
      <c r="F28" s="27">
        <v>16</v>
      </c>
      <c r="G28" s="83"/>
      <c r="H28" s="121">
        <v>2033</v>
      </c>
      <c r="I28" s="46">
        <f t="shared" si="1"/>
        <v>127.0625</v>
      </c>
    </row>
    <row r="29" spans="1:9" s="24" customFormat="1" ht="12.75" customHeight="1">
      <c r="A29" s="25" t="s">
        <v>186</v>
      </c>
      <c r="B29" s="22">
        <v>2003</v>
      </c>
      <c r="C29" s="31" t="s">
        <v>178</v>
      </c>
      <c r="D29" s="27" t="s">
        <v>537</v>
      </c>
      <c r="E29" s="75"/>
      <c r="F29" s="82">
        <v>13</v>
      </c>
      <c r="G29" s="83"/>
      <c r="H29" s="127">
        <v>1827</v>
      </c>
      <c r="I29" s="46">
        <f t="shared" si="1"/>
        <v>140.53846153846155</v>
      </c>
    </row>
    <row r="30" spans="1:9" s="24" customFormat="1" ht="12.75" customHeight="1">
      <c r="A30" s="25" t="s">
        <v>186</v>
      </c>
      <c r="B30" s="22">
        <v>2003</v>
      </c>
      <c r="C30" s="31" t="s">
        <v>188</v>
      </c>
      <c r="D30" s="75" t="s">
        <v>396</v>
      </c>
      <c r="E30" s="75"/>
      <c r="F30" s="27">
        <v>11</v>
      </c>
      <c r="G30" s="83"/>
      <c r="H30" s="121">
        <v>1913</v>
      </c>
      <c r="I30" s="46">
        <f t="shared" si="1"/>
        <v>173.9090909090909</v>
      </c>
    </row>
    <row r="31" spans="1:9" s="24" customFormat="1" ht="12.75" customHeight="1">
      <c r="A31" s="25" t="s">
        <v>186</v>
      </c>
      <c r="B31" s="22">
        <v>2003</v>
      </c>
      <c r="C31" s="31" t="s">
        <v>536</v>
      </c>
      <c r="D31" s="27" t="s">
        <v>535</v>
      </c>
      <c r="E31" s="75"/>
      <c r="F31" s="82">
        <v>11</v>
      </c>
      <c r="G31" s="83"/>
      <c r="H31" s="127">
        <v>3815</v>
      </c>
      <c r="I31" s="46">
        <f t="shared" si="1"/>
        <v>346.8181818181818</v>
      </c>
    </row>
    <row r="32" spans="1:9" s="24" customFormat="1" ht="12.75" customHeight="1">
      <c r="A32" s="25" t="s">
        <v>186</v>
      </c>
      <c r="B32" s="22">
        <v>2003</v>
      </c>
      <c r="C32" s="31" t="s">
        <v>73</v>
      </c>
      <c r="D32" s="75" t="s">
        <v>395</v>
      </c>
      <c r="E32" s="75"/>
      <c r="F32" s="27">
        <v>6</v>
      </c>
      <c r="G32" s="83"/>
      <c r="H32" s="121">
        <v>1025</v>
      </c>
      <c r="I32" s="46">
        <f t="shared" si="1"/>
        <v>170.83333333333334</v>
      </c>
    </row>
    <row r="33" spans="1:9" s="24" customFormat="1" ht="12.75" customHeight="1">
      <c r="A33" s="25" t="s">
        <v>186</v>
      </c>
      <c r="B33" s="22">
        <v>2003</v>
      </c>
      <c r="C33" s="31" t="s">
        <v>194</v>
      </c>
      <c r="D33" s="27" t="s">
        <v>339</v>
      </c>
      <c r="E33" s="75"/>
      <c r="F33" s="27">
        <v>3</v>
      </c>
      <c r="G33" s="83"/>
      <c r="H33" s="121">
        <v>503</v>
      </c>
      <c r="I33" s="46">
        <f t="shared" si="1"/>
        <v>167.66666666666666</v>
      </c>
    </row>
    <row r="34" spans="1:9" s="24" customFormat="1" ht="12.75" customHeight="1">
      <c r="A34" s="25"/>
      <c r="B34" s="22"/>
      <c r="C34" s="55"/>
      <c r="D34" s="75"/>
      <c r="E34" s="75"/>
      <c r="F34" s="82"/>
      <c r="G34" s="83"/>
      <c r="H34" s="127"/>
      <c r="I34" s="46"/>
    </row>
    <row r="35" spans="1:9" s="24" customFormat="1" ht="12.75" customHeight="1">
      <c r="A35" s="25" t="s">
        <v>186</v>
      </c>
      <c r="B35" s="22">
        <v>2004</v>
      </c>
      <c r="C35" s="28" t="s">
        <v>6</v>
      </c>
      <c r="D35" s="75" t="s">
        <v>323</v>
      </c>
      <c r="E35" s="75"/>
      <c r="F35" s="27">
        <v>416</v>
      </c>
      <c r="G35" s="83"/>
      <c r="H35" s="121">
        <v>76398</v>
      </c>
      <c r="I35" s="46">
        <f aca="true" t="shared" si="2" ref="I35:I48">$H35/$F35</f>
        <v>183.64903846153845</v>
      </c>
    </row>
    <row r="36" spans="1:9" s="24" customFormat="1" ht="12.75" customHeight="1">
      <c r="A36" s="25" t="s">
        <v>186</v>
      </c>
      <c r="B36" s="22">
        <v>2004</v>
      </c>
      <c r="C36" s="31" t="s">
        <v>3</v>
      </c>
      <c r="D36" s="75" t="s">
        <v>325</v>
      </c>
      <c r="E36" s="75"/>
      <c r="F36" s="27">
        <v>221</v>
      </c>
      <c r="G36" s="83"/>
      <c r="H36" s="121">
        <v>48305</v>
      </c>
      <c r="I36" s="46">
        <f t="shared" si="2"/>
        <v>218.57466063348417</v>
      </c>
    </row>
    <row r="37" spans="1:9" s="24" customFormat="1" ht="12.75" customHeight="1">
      <c r="A37" s="25" t="s">
        <v>186</v>
      </c>
      <c r="B37" s="22">
        <v>2004</v>
      </c>
      <c r="C37" s="31" t="s">
        <v>9</v>
      </c>
      <c r="D37" s="75" t="s">
        <v>332</v>
      </c>
      <c r="E37" s="75"/>
      <c r="F37" s="27">
        <v>43</v>
      </c>
      <c r="G37" s="83"/>
      <c r="H37" s="121">
        <v>10570</v>
      </c>
      <c r="I37" s="46">
        <f t="shared" si="2"/>
        <v>245.8139534883721</v>
      </c>
    </row>
    <row r="38" spans="1:9" s="24" customFormat="1" ht="12.75" customHeight="1">
      <c r="A38" s="25" t="s">
        <v>186</v>
      </c>
      <c r="B38" s="22">
        <v>2004</v>
      </c>
      <c r="C38" s="31" t="s">
        <v>18</v>
      </c>
      <c r="D38" s="75" t="s">
        <v>397</v>
      </c>
      <c r="E38" s="75"/>
      <c r="F38" s="27">
        <v>40</v>
      </c>
      <c r="G38" s="83"/>
      <c r="H38" s="121">
        <v>8427</v>
      </c>
      <c r="I38" s="46">
        <f t="shared" si="2"/>
        <v>210.675</v>
      </c>
    </row>
    <row r="39" spans="1:9" s="24" customFormat="1" ht="12.75" customHeight="1">
      <c r="A39" s="25" t="s">
        <v>186</v>
      </c>
      <c r="B39" s="22">
        <v>2004</v>
      </c>
      <c r="C39" s="31" t="s">
        <v>76</v>
      </c>
      <c r="D39" s="27" t="s">
        <v>451</v>
      </c>
      <c r="E39" s="75"/>
      <c r="F39" s="27">
        <v>22</v>
      </c>
      <c r="G39" s="83"/>
      <c r="H39" s="121">
        <v>2727</v>
      </c>
      <c r="I39" s="46">
        <f t="shared" si="2"/>
        <v>123.95454545454545</v>
      </c>
    </row>
    <row r="40" spans="1:9" s="24" customFormat="1" ht="12.75" customHeight="1">
      <c r="A40" s="25" t="s">
        <v>186</v>
      </c>
      <c r="B40" s="22">
        <v>2004</v>
      </c>
      <c r="C40" s="31" t="s">
        <v>188</v>
      </c>
      <c r="D40" s="75" t="s">
        <v>396</v>
      </c>
      <c r="E40" s="75"/>
      <c r="F40" s="27">
        <v>15</v>
      </c>
      <c r="G40" s="83"/>
      <c r="H40" s="121">
        <v>2655</v>
      </c>
      <c r="I40" s="46">
        <f t="shared" si="2"/>
        <v>177</v>
      </c>
    </row>
    <row r="41" spans="1:9" s="24" customFormat="1" ht="12.75" customHeight="1">
      <c r="A41" s="25" t="s">
        <v>186</v>
      </c>
      <c r="B41" s="22">
        <v>2004</v>
      </c>
      <c r="C41" s="31" t="s">
        <v>178</v>
      </c>
      <c r="D41" s="27" t="s">
        <v>537</v>
      </c>
      <c r="E41" s="75"/>
      <c r="F41" s="82">
        <v>13</v>
      </c>
      <c r="G41" s="83"/>
      <c r="H41" s="127">
        <v>1835</v>
      </c>
      <c r="I41" s="46">
        <f t="shared" si="2"/>
        <v>141.15384615384616</v>
      </c>
    </row>
    <row r="42" spans="1:9" s="24" customFormat="1" ht="12.75" customHeight="1">
      <c r="A42" s="25" t="s">
        <v>186</v>
      </c>
      <c r="B42" s="22">
        <v>2004</v>
      </c>
      <c r="C42" s="31" t="s">
        <v>194</v>
      </c>
      <c r="D42" s="27" t="s">
        <v>339</v>
      </c>
      <c r="E42" s="75"/>
      <c r="F42" s="27">
        <v>11</v>
      </c>
      <c r="G42" s="83"/>
      <c r="H42" s="121">
        <v>1800</v>
      </c>
      <c r="I42" s="46">
        <f t="shared" si="2"/>
        <v>163.63636363636363</v>
      </c>
    </row>
    <row r="43" spans="1:9" s="24" customFormat="1" ht="12.75" customHeight="1">
      <c r="A43" s="25" t="s">
        <v>186</v>
      </c>
      <c r="B43" s="22">
        <v>2004</v>
      </c>
      <c r="C43" s="31" t="s">
        <v>536</v>
      </c>
      <c r="D43" s="27" t="s">
        <v>535</v>
      </c>
      <c r="E43" s="75"/>
      <c r="F43" s="82">
        <v>8</v>
      </c>
      <c r="G43" s="83"/>
      <c r="H43" s="127">
        <v>2855</v>
      </c>
      <c r="I43" s="46">
        <f t="shared" si="2"/>
        <v>356.875</v>
      </c>
    </row>
    <row r="44" spans="1:9" s="24" customFormat="1" ht="12.75" customHeight="1">
      <c r="A44" s="25" t="s">
        <v>186</v>
      </c>
      <c r="B44" s="22">
        <v>2004</v>
      </c>
      <c r="C44" s="31" t="s">
        <v>73</v>
      </c>
      <c r="D44" s="75" t="s">
        <v>395</v>
      </c>
      <c r="E44" s="75"/>
      <c r="F44" s="27">
        <v>4</v>
      </c>
      <c r="G44" s="83"/>
      <c r="H44" s="121">
        <v>625</v>
      </c>
      <c r="I44" s="46">
        <f t="shared" si="2"/>
        <v>156.25</v>
      </c>
    </row>
    <row r="45" spans="1:9" s="24" customFormat="1" ht="12.75" customHeight="1">
      <c r="A45" s="25"/>
      <c r="B45" s="22"/>
      <c r="C45" s="31"/>
      <c r="D45" s="27"/>
      <c r="E45" s="75"/>
      <c r="F45" s="27"/>
      <c r="G45" s="83"/>
      <c r="H45" s="121"/>
      <c r="I45" s="46"/>
    </row>
    <row r="46" spans="1:9" s="24" customFormat="1" ht="12.75" customHeight="1">
      <c r="A46" s="25" t="s">
        <v>611</v>
      </c>
      <c r="B46" s="22">
        <v>2003</v>
      </c>
      <c r="C46" s="31" t="s">
        <v>5</v>
      </c>
      <c r="D46" s="27" t="s">
        <v>612</v>
      </c>
      <c r="E46" s="75"/>
      <c r="F46" s="27">
        <v>73</v>
      </c>
      <c r="G46" s="83"/>
      <c r="H46" s="128">
        <f>10750000000/581.2/1000</f>
        <v>18496.214728148658</v>
      </c>
      <c r="I46" s="46">
        <f t="shared" si="2"/>
        <v>253.3728044951871</v>
      </c>
    </row>
    <row r="47" spans="1:9" s="24" customFormat="1" ht="12.75" customHeight="1">
      <c r="A47" s="25"/>
      <c r="B47" s="22"/>
      <c r="C47" s="31"/>
      <c r="D47" s="27"/>
      <c r="E47" s="75"/>
      <c r="F47" s="27"/>
      <c r="G47" s="83"/>
      <c r="H47" s="121"/>
      <c r="I47" s="46"/>
    </row>
    <row r="48" spans="1:9" s="24" customFormat="1" ht="12.75" customHeight="1">
      <c r="A48" s="25" t="s">
        <v>611</v>
      </c>
      <c r="B48" s="22">
        <v>2004</v>
      </c>
      <c r="C48" s="31" t="s">
        <v>5</v>
      </c>
      <c r="D48" s="27" t="s">
        <v>612</v>
      </c>
      <c r="E48" s="75"/>
      <c r="F48" s="27">
        <v>120</v>
      </c>
      <c r="G48" s="83"/>
      <c r="H48" s="128">
        <f>18124000000/528.28/1000</f>
        <v>34307.56417051564</v>
      </c>
      <c r="I48" s="46">
        <f t="shared" si="2"/>
        <v>285.8963680876303</v>
      </c>
    </row>
    <row r="49" spans="1:9" s="24" customFormat="1" ht="12.75" customHeight="1">
      <c r="A49" s="25"/>
      <c r="B49" s="22"/>
      <c r="C49" s="31"/>
      <c r="D49" s="27"/>
      <c r="E49" s="75"/>
      <c r="F49" s="27"/>
      <c r="G49" s="83"/>
      <c r="H49" s="121"/>
      <c r="I49" s="46"/>
    </row>
    <row r="50" spans="1:9" ht="12.75" customHeight="1">
      <c r="A50" s="1" t="s">
        <v>192</v>
      </c>
      <c r="B50" s="5">
        <v>2003</v>
      </c>
      <c r="C50" s="28" t="s">
        <v>6</v>
      </c>
      <c r="D50" s="27" t="s">
        <v>323</v>
      </c>
      <c r="F50" s="35">
        <v>542.472</v>
      </c>
      <c r="H50" s="138">
        <v>73304.55169304887</v>
      </c>
      <c r="I50" s="14">
        <f>$H50/$F50</f>
        <v>135.13057207201268</v>
      </c>
    </row>
    <row r="51" spans="1:9" ht="12.75" customHeight="1">
      <c r="A51" s="1" t="s">
        <v>192</v>
      </c>
      <c r="B51" s="5">
        <v>2003</v>
      </c>
      <c r="C51" s="31" t="s">
        <v>465</v>
      </c>
      <c r="D51" s="27" t="s">
        <v>399</v>
      </c>
      <c r="F51" s="35">
        <v>54.41</v>
      </c>
      <c r="H51" s="138">
        <v>8316.573663110805</v>
      </c>
      <c r="I51" s="14">
        <f aca="true" t="shared" si="3" ref="I51:I56">$H51/$F51</f>
        <v>152.8500948926816</v>
      </c>
    </row>
    <row r="52" spans="1:9" ht="12.75" customHeight="1">
      <c r="A52" s="1" t="s">
        <v>192</v>
      </c>
      <c r="B52" s="5">
        <v>2003</v>
      </c>
      <c r="C52" s="3" t="s">
        <v>66</v>
      </c>
      <c r="D52" s="11" t="s">
        <v>400</v>
      </c>
      <c r="F52" s="35">
        <v>25.868</v>
      </c>
      <c r="H52" s="138">
        <v>4168.812675498967</v>
      </c>
      <c r="I52" s="14">
        <f t="shared" si="3"/>
        <v>161.15713141715506</v>
      </c>
    </row>
    <row r="53" spans="1:9" ht="12.75" customHeight="1">
      <c r="A53" s="1" t="s">
        <v>192</v>
      </c>
      <c r="B53" s="5">
        <v>2003</v>
      </c>
      <c r="C53" s="3" t="s">
        <v>65</v>
      </c>
      <c r="D53" s="11" t="s">
        <v>329</v>
      </c>
      <c r="F53" s="35">
        <v>25.748</v>
      </c>
      <c r="H53" s="138">
        <v>3266.368783551273</v>
      </c>
      <c r="I53" s="14">
        <f t="shared" si="3"/>
        <v>126.85912628364427</v>
      </c>
    </row>
    <row r="54" spans="1:9" ht="12.75" customHeight="1">
      <c r="A54" s="1" t="s">
        <v>192</v>
      </c>
      <c r="B54" s="5">
        <v>2003</v>
      </c>
      <c r="C54" s="3" t="s">
        <v>190</v>
      </c>
      <c r="D54" s="11" t="s">
        <v>401</v>
      </c>
      <c r="F54" s="35">
        <v>9.76</v>
      </c>
      <c r="H54" s="138">
        <v>1621.7743014452856</v>
      </c>
      <c r="I54" s="14">
        <f t="shared" si="3"/>
        <v>166.16539973824646</v>
      </c>
    </row>
    <row r="55" spans="1:9" ht="12.75" customHeight="1">
      <c r="A55" s="1" t="s">
        <v>192</v>
      </c>
      <c r="B55" s="5">
        <v>2003</v>
      </c>
      <c r="C55" s="3" t="s">
        <v>191</v>
      </c>
      <c r="D55" s="11" t="s">
        <v>402</v>
      </c>
      <c r="F55" s="35">
        <v>4.95</v>
      </c>
      <c r="H55" s="138">
        <v>667.6838506538196</v>
      </c>
      <c r="I55" s="14">
        <f t="shared" si="3"/>
        <v>134.88562639471104</v>
      </c>
    </row>
    <row r="56" spans="1:9" ht="12.75" customHeight="1">
      <c r="A56" s="1" t="s">
        <v>192</v>
      </c>
      <c r="B56" s="5">
        <v>2003</v>
      </c>
      <c r="D56" s="11" t="s">
        <v>482</v>
      </c>
      <c r="F56" s="35">
        <v>1054.147</v>
      </c>
      <c r="H56" s="138">
        <v>35133.795254645556</v>
      </c>
      <c r="I56" s="14">
        <f t="shared" si="3"/>
        <v>33.32912321967008</v>
      </c>
    </row>
    <row r="57" ht="12.75" customHeight="1"/>
    <row r="58" spans="1:9" ht="12.75" customHeight="1">
      <c r="A58" s="1" t="s">
        <v>192</v>
      </c>
      <c r="B58" s="5">
        <v>2004</v>
      </c>
      <c r="C58" s="28" t="s">
        <v>6</v>
      </c>
      <c r="D58" s="27" t="s">
        <v>323</v>
      </c>
      <c r="F58" s="35">
        <v>844.067</v>
      </c>
      <c r="H58" s="138">
        <v>71099.19164079656</v>
      </c>
      <c r="I58" s="14">
        <f>$H58/$F58</f>
        <v>84.23406156240745</v>
      </c>
    </row>
    <row r="59" spans="1:9" ht="12.75" customHeight="1">
      <c r="A59" s="1" t="s">
        <v>192</v>
      </c>
      <c r="B59" s="5">
        <v>2004</v>
      </c>
      <c r="C59" s="3" t="s">
        <v>66</v>
      </c>
      <c r="D59" s="11" t="s">
        <v>400</v>
      </c>
      <c r="F59" s="35">
        <f>1516.763-(F58+F60)</f>
        <v>4.6340000000000146</v>
      </c>
      <c r="H59" s="138">
        <v>0.07187287044749</v>
      </c>
      <c r="I59" s="59" t="s">
        <v>71</v>
      </c>
    </row>
    <row r="60" spans="1:9" ht="12.75" customHeight="1">
      <c r="A60" s="1" t="s">
        <v>192</v>
      </c>
      <c r="B60" s="5">
        <v>2004</v>
      </c>
      <c r="D60" s="11" t="s">
        <v>482</v>
      </c>
      <c r="F60" s="35">
        <v>668.062</v>
      </c>
      <c r="H60" s="138">
        <v>63154.65481184221</v>
      </c>
      <c r="I60" s="14">
        <f>$H60/$F60</f>
        <v>94.53412229978984</v>
      </c>
    </row>
    <row r="61" spans="1:9" ht="12.75" customHeight="1">
      <c r="A61" s="175"/>
      <c r="B61" s="157"/>
      <c r="C61" s="174"/>
      <c r="D61" s="175"/>
      <c r="E61" s="191"/>
      <c r="F61" s="176"/>
      <c r="G61" s="160"/>
      <c r="H61" s="177"/>
      <c r="I61" s="176"/>
    </row>
    <row r="62" ht="3" customHeight="1"/>
    <row r="63" spans="1:9" ht="12.75" customHeight="1">
      <c r="A63" s="1" t="s">
        <v>504</v>
      </c>
      <c r="B63" s="5">
        <v>2003</v>
      </c>
      <c r="C63" s="3" t="s">
        <v>5</v>
      </c>
      <c r="D63" s="11" t="s">
        <v>362</v>
      </c>
      <c r="F63" s="35">
        <v>17</v>
      </c>
      <c r="H63" s="138">
        <v>721</v>
      </c>
      <c r="I63" s="14">
        <f>$H63/$F63</f>
        <v>42.411764705882355</v>
      </c>
    </row>
    <row r="64" ht="12.75" customHeight="1"/>
    <row r="65" spans="1:9" ht="12.75" customHeight="1">
      <c r="A65" s="1" t="s">
        <v>504</v>
      </c>
      <c r="B65" s="5">
        <v>2004</v>
      </c>
      <c r="C65" s="3" t="s">
        <v>5</v>
      </c>
      <c r="D65" s="11" t="s">
        <v>362</v>
      </c>
      <c r="F65" s="35">
        <v>29</v>
      </c>
      <c r="H65" s="138">
        <v>1631</v>
      </c>
      <c r="I65" s="14">
        <f>$H65/$F65</f>
        <v>56.241379310344826</v>
      </c>
    </row>
    <row r="66" spans="1:9" s="24" customFormat="1" ht="12.75" customHeight="1">
      <c r="A66" s="1"/>
      <c r="B66" s="5"/>
      <c r="C66" s="3"/>
      <c r="D66" s="11"/>
      <c r="E66" s="17"/>
      <c r="F66" s="35"/>
      <c r="G66" s="86"/>
      <c r="H66" s="138"/>
      <c r="I66" s="14"/>
    </row>
    <row r="67" spans="1:9" s="8" customFormat="1" ht="12.75" customHeight="1">
      <c r="A67" s="8" t="s">
        <v>94</v>
      </c>
      <c r="B67" s="22">
        <v>2003</v>
      </c>
      <c r="C67" s="8" t="s">
        <v>139</v>
      </c>
      <c r="D67" s="8" t="s">
        <v>42</v>
      </c>
      <c r="E67" s="78"/>
      <c r="F67" s="15">
        <v>0.07462664000000001</v>
      </c>
      <c r="G67" s="101" t="s">
        <v>181</v>
      </c>
      <c r="H67" s="123">
        <v>22.601</v>
      </c>
      <c r="I67" s="15">
        <f aca="true" t="shared" si="4" ref="I67:I74">$H67/$F67</f>
        <v>302.854315831451</v>
      </c>
    </row>
    <row r="68" spans="1:9" s="8" customFormat="1" ht="12.75" customHeight="1">
      <c r="A68" s="8" t="s">
        <v>94</v>
      </c>
      <c r="B68" s="22">
        <v>2003</v>
      </c>
      <c r="C68" s="8" t="s">
        <v>95</v>
      </c>
      <c r="E68" s="78"/>
      <c r="F68" s="15">
        <v>0.025661470000000006</v>
      </c>
      <c r="G68" s="101" t="s">
        <v>181</v>
      </c>
      <c r="H68" s="123">
        <v>5.35</v>
      </c>
      <c r="I68" s="15">
        <f t="shared" si="4"/>
        <v>208.4837696359561</v>
      </c>
    </row>
    <row r="69" spans="1:9" s="8" customFormat="1" ht="12.75" customHeight="1">
      <c r="A69" s="8" t="s">
        <v>94</v>
      </c>
      <c r="B69" s="22">
        <v>2003</v>
      </c>
      <c r="C69" s="8" t="s">
        <v>196</v>
      </c>
      <c r="E69" s="78"/>
      <c r="F69" s="15">
        <v>0.0015850900000000002</v>
      </c>
      <c r="G69" s="101" t="s">
        <v>181</v>
      </c>
      <c r="H69" s="123">
        <v>0.8</v>
      </c>
      <c r="I69" s="15">
        <f t="shared" si="4"/>
        <v>504.70320297270183</v>
      </c>
    </row>
    <row r="70" spans="1:9" s="8" customFormat="1" ht="12.75" customHeight="1">
      <c r="A70" s="8" t="s">
        <v>94</v>
      </c>
      <c r="B70" s="22">
        <v>2003</v>
      </c>
      <c r="C70" s="8" t="s">
        <v>96</v>
      </c>
      <c r="E70" s="78"/>
      <c r="F70" s="15">
        <v>0.26534571</v>
      </c>
      <c r="G70" s="101" t="s">
        <v>181</v>
      </c>
      <c r="H70" s="123">
        <v>71.139</v>
      </c>
      <c r="I70" s="15">
        <f t="shared" si="4"/>
        <v>268.09930335787226</v>
      </c>
    </row>
    <row r="71" spans="1:9" s="8" customFormat="1" ht="12.75" customHeight="1">
      <c r="A71" s="8" t="s">
        <v>94</v>
      </c>
      <c r="B71" s="22">
        <v>2003</v>
      </c>
      <c r="C71" s="8" t="s">
        <v>557</v>
      </c>
      <c r="E71" s="78"/>
      <c r="F71" s="15">
        <v>0.02191178</v>
      </c>
      <c r="G71" s="101" t="s">
        <v>181</v>
      </c>
      <c r="H71" s="123">
        <v>13.003</v>
      </c>
      <c r="I71" s="15">
        <f t="shared" si="4"/>
        <v>593.425089152958</v>
      </c>
    </row>
    <row r="72" spans="1:9" s="8" customFormat="1" ht="12.75" customHeight="1">
      <c r="A72" s="8" t="s">
        <v>94</v>
      </c>
      <c r="B72" s="22">
        <v>2003</v>
      </c>
      <c r="C72" s="8" t="s">
        <v>558</v>
      </c>
      <c r="E72" s="78"/>
      <c r="F72" s="15">
        <v>0.02830694</v>
      </c>
      <c r="G72" s="101" t="s">
        <v>181</v>
      </c>
      <c r="H72" s="123">
        <v>7.783</v>
      </c>
      <c r="I72" s="15">
        <f t="shared" si="4"/>
        <v>274.9502418841457</v>
      </c>
    </row>
    <row r="73" spans="1:9" s="8" customFormat="1" ht="12.75" customHeight="1">
      <c r="A73" s="8" t="s">
        <v>94</v>
      </c>
      <c r="B73" s="22">
        <v>2003</v>
      </c>
      <c r="C73" s="8" t="s">
        <v>559</v>
      </c>
      <c r="E73" s="78"/>
      <c r="F73" s="15">
        <v>0.026828710000000002</v>
      </c>
      <c r="G73" s="101" t="s">
        <v>181</v>
      </c>
      <c r="H73" s="123">
        <v>6.921</v>
      </c>
      <c r="I73" s="15">
        <f t="shared" si="4"/>
        <v>257.9699135739288</v>
      </c>
    </row>
    <row r="74" spans="1:9" s="8" customFormat="1" ht="12.75" customHeight="1">
      <c r="A74" s="8" t="s">
        <v>94</v>
      </c>
      <c r="B74" s="22">
        <v>2003</v>
      </c>
      <c r="C74" s="8" t="s">
        <v>560</v>
      </c>
      <c r="E74" s="78"/>
      <c r="F74" s="15">
        <v>0.06787528000000001</v>
      </c>
      <c r="G74" s="101" t="s">
        <v>181</v>
      </c>
      <c r="H74" s="123">
        <v>22.136</v>
      </c>
      <c r="I74" s="15">
        <f t="shared" si="4"/>
        <v>326.1275680925367</v>
      </c>
    </row>
    <row r="75" spans="2:5" s="8" customFormat="1" ht="12.75" customHeight="1">
      <c r="B75" s="22"/>
      <c r="E75" s="78"/>
    </row>
    <row r="76" spans="1:9" s="8" customFormat="1" ht="12.75" customHeight="1">
      <c r="A76" s="8" t="s">
        <v>94</v>
      </c>
      <c r="B76" s="22">
        <v>2004</v>
      </c>
      <c r="C76" s="8" t="s">
        <v>139</v>
      </c>
      <c r="D76" s="8" t="s">
        <v>42</v>
      </c>
      <c r="E76" s="78"/>
      <c r="F76" s="15">
        <v>0.11506082000000002</v>
      </c>
      <c r="G76" s="101" t="s">
        <v>181</v>
      </c>
      <c r="H76" s="123">
        <v>128.834</v>
      </c>
      <c r="I76" s="15">
        <f aca="true" t="shared" si="5" ref="I76:I105">$H76/$F76</f>
        <v>1119.703475083873</v>
      </c>
    </row>
    <row r="77" spans="1:9" s="8" customFormat="1" ht="12.75" customHeight="1">
      <c r="A77" s="8" t="s">
        <v>94</v>
      </c>
      <c r="B77" s="22">
        <v>2004</v>
      </c>
      <c r="C77" s="8" t="s">
        <v>555</v>
      </c>
      <c r="E77" s="78"/>
      <c r="F77" s="15">
        <v>0.0009083100000000001</v>
      </c>
      <c r="G77" s="101" t="s">
        <v>181</v>
      </c>
      <c r="H77" s="123">
        <v>1.382</v>
      </c>
      <c r="I77" s="15">
        <f t="shared" si="5"/>
        <v>1521.5069744910877</v>
      </c>
    </row>
    <row r="78" spans="1:9" s="8" customFormat="1" ht="12.75" customHeight="1">
      <c r="A78" s="8" t="s">
        <v>94</v>
      </c>
      <c r="B78" s="22">
        <v>2004</v>
      </c>
      <c r="C78" s="8" t="s">
        <v>196</v>
      </c>
      <c r="E78" s="78"/>
      <c r="F78" s="15">
        <v>0.0934066</v>
      </c>
      <c r="G78" s="101" t="s">
        <v>181</v>
      </c>
      <c r="H78" s="123">
        <v>35.241</v>
      </c>
      <c r="I78" s="15">
        <f t="shared" si="5"/>
        <v>377.28597336804893</v>
      </c>
    </row>
    <row r="79" spans="1:9" s="8" customFormat="1" ht="12.75" customHeight="1">
      <c r="A79" s="8" t="s">
        <v>94</v>
      </c>
      <c r="B79" s="22">
        <v>2004</v>
      </c>
      <c r="C79" s="8" t="s">
        <v>140</v>
      </c>
      <c r="E79" s="78"/>
      <c r="F79" s="15">
        <v>0.05383415000000001</v>
      </c>
      <c r="G79" s="101" t="s">
        <v>181</v>
      </c>
      <c r="H79" s="123">
        <v>9.116</v>
      </c>
      <c r="I79" s="15">
        <f t="shared" si="5"/>
        <v>169.3348924428081</v>
      </c>
    </row>
    <row r="80" spans="1:9" s="8" customFormat="1" ht="12.75" customHeight="1">
      <c r="A80" s="8" t="s">
        <v>94</v>
      </c>
      <c r="B80" s="22">
        <v>2004</v>
      </c>
      <c r="C80" s="8" t="s">
        <v>141</v>
      </c>
      <c r="E80" s="78"/>
      <c r="F80" s="15">
        <v>0.00035757000000000003</v>
      </c>
      <c r="G80" s="101" t="s">
        <v>181</v>
      </c>
      <c r="H80" s="123">
        <v>0.554</v>
      </c>
      <c r="I80" s="15">
        <f t="shared" si="5"/>
        <v>1549.3469810107113</v>
      </c>
    </row>
    <row r="81" spans="1:9" s="8" customFormat="1" ht="12.75" customHeight="1">
      <c r="A81" s="8" t="s">
        <v>94</v>
      </c>
      <c r="B81" s="22">
        <v>2004</v>
      </c>
      <c r="C81" s="8" t="s">
        <v>557</v>
      </c>
      <c r="E81" s="78"/>
      <c r="F81" s="15">
        <v>0.0048498000000000005</v>
      </c>
      <c r="G81" s="101" t="s">
        <v>181</v>
      </c>
      <c r="H81" s="123">
        <v>9.21</v>
      </c>
      <c r="I81" s="15">
        <f t="shared" si="5"/>
        <v>1899.0473833972535</v>
      </c>
    </row>
    <row r="82" spans="1:9" s="8" customFormat="1" ht="12.75" customHeight="1">
      <c r="A82" s="8" t="s">
        <v>94</v>
      </c>
      <c r="B82" s="22">
        <v>2004</v>
      </c>
      <c r="C82" s="8" t="s">
        <v>559</v>
      </c>
      <c r="E82" s="78"/>
      <c r="F82" s="15">
        <v>0.10199239000000002</v>
      </c>
      <c r="G82" s="101" t="s">
        <v>181</v>
      </c>
      <c r="H82" s="123">
        <v>42.83</v>
      </c>
      <c r="I82" s="15">
        <f t="shared" si="5"/>
        <v>419.93329110142423</v>
      </c>
    </row>
    <row r="83" spans="1:9" s="8" customFormat="1" ht="12.75" customHeight="1">
      <c r="A83" s="8" t="s">
        <v>94</v>
      </c>
      <c r="B83" s="22">
        <v>2004</v>
      </c>
      <c r="C83" s="8" t="s">
        <v>560</v>
      </c>
      <c r="E83" s="78"/>
      <c r="F83" s="15">
        <v>0.11229068</v>
      </c>
      <c r="G83" s="101" t="s">
        <v>181</v>
      </c>
      <c r="H83" s="123">
        <v>50.453</v>
      </c>
      <c r="I83" s="15">
        <f t="shared" si="5"/>
        <v>449.307101889489</v>
      </c>
    </row>
    <row r="84" spans="2:9" s="24" customFormat="1" ht="12.75" customHeight="1">
      <c r="B84" s="5"/>
      <c r="F84" s="26"/>
      <c r="G84" s="87"/>
      <c r="H84" s="128"/>
      <c r="I84" s="26"/>
    </row>
    <row r="85" spans="1:10" s="24" customFormat="1" ht="12.75" customHeight="1">
      <c r="A85" s="24" t="s">
        <v>639</v>
      </c>
      <c r="B85" s="5">
        <v>2003</v>
      </c>
      <c r="C85" s="20" t="s">
        <v>467</v>
      </c>
      <c r="D85" s="27" t="s">
        <v>313</v>
      </c>
      <c r="E85" s="27"/>
      <c r="F85" s="90">
        <v>1541</v>
      </c>
      <c r="G85" s="87"/>
      <c r="H85" s="128">
        <v>139812.1052631579</v>
      </c>
      <c r="I85" s="15">
        <f>$H85/$F85</f>
        <v>90.7281669455924</v>
      </c>
      <c r="J85" s="233"/>
    </row>
    <row r="86" spans="1:10" s="24" customFormat="1" ht="12.75" customHeight="1">
      <c r="A86" s="24" t="s">
        <v>639</v>
      </c>
      <c r="B86" s="5">
        <v>2003</v>
      </c>
      <c r="C86" s="31" t="s">
        <v>464</v>
      </c>
      <c r="D86" s="27" t="s">
        <v>353</v>
      </c>
      <c r="E86" s="27"/>
      <c r="F86" s="90">
        <v>452.8</v>
      </c>
      <c r="G86" s="87"/>
      <c r="H86" s="128">
        <v>54862.83210526316</v>
      </c>
      <c r="I86" s="15">
        <f t="shared" si="5"/>
        <v>121.16349846568718</v>
      </c>
      <c r="J86" s="233"/>
    </row>
    <row r="87" spans="1:10" s="24" customFormat="1" ht="12.75" customHeight="1">
      <c r="A87" s="24" t="s">
        <v>639</v>
      </c>
      <c r="B87" s="5">
        <v>2003</v>
      </c>
      <c r="C87" s="31" t="s">
        <v>647</v>
      </c>
      <c r="D87" s="27" t="s">
        <v>646</v>
      </c>
      <c r="E87" s="27"/>
      <c r="F87" s="90">
        <v>444</v>
      </c>
      <c r="G87" s="87"/>
      <c r="H87" s="128">
        <v>13880.087894736844</v>
      </c>
      <c r="I87" s="15">
        <f t="shared" si="5"/>
        <v>31.261459222380278</v>
      </c>
      <c r="J87" s="233"/>
    </row>
    <row r="88" spans="1:10" s="24" customFormat="1" ht="12.75" customHeight="1">
      <c r="A88" s="24" t="s">
        <v>639</v>
      </c>
      <c r="B88" s="5">
        <v>2003</v>
      </c>
      <c r="C88" s="31" t="s">
        <v>469</v>
      </c>
      <c r="D88" s="27" t="s">
        <v>337</v>
      </c>
      <c r="E88" s="27"/>
      <c r="F88" s="90">
        <v>368</v>
      </c>
      <c r="G88" s="87"/>
      <c r="H88" s="128">
        <v>37747.631578947374</v>
      </c>
      <c r="I88" s="15">
        <f t="shared" si="5"/>
        <v>102.57508581235699</v>
      </c>
      <c r="J88" s="233"/>
    </row>
    <row r="89" spans="1:10" s="24" customFormat="1" ht="12.75" customHeight="1">
      <c r="A89" s="24" t="s">
        <v>639</v>
      </c>
      <c r="B89" s="5">
        <v>2003</v>
      </c>
      <c r="C89" s="31" t="s">
        <v>645</v>
      </c>
      <c r="D89" s="27" t="s">
        <v>644</v>
      </c>
      <c r="E89" s="27"/>
      <c r="F89" s="90">
        <v>126</v>
      </c>
      <c r="G89" s="87"/>
      <c r="H89" s="128">
        <v>11173.157894736843</v>
      </c>
      <c r="I89" s="15">
        <f t="shared" si="5"/>
        <v>88.67585630743527</v>
      </c>
      <c r="J89" s="233"/>
    </row>
    <row r="90" spans="1:10" s="24" customFormat="1" ht="12.75" customHeight="1">
      <c r="A90" s="24" t="s">
        <v>639</v>
      </c>
      <c r="B90" s="5">
        <v>2003</v>
      </c>
      <c r="C90" s="31" t="s">
        <v>720</v>
      </c>
      <c r="D90" s="27" t="s">
        <v>641</v>
      </c>
      <c r="E90" s="27"/>
      <c r="F90" s="90">
        <v>40.4</v>
      </c>
      <c r="G90" s="87"/>
      <c r="H90" s="128">
        <v>4768.679210526317</v>
      </c>
      <c r="I90" s="15">
        <f t="shared" si="5"/>
        <v>118.03661412193854</v>
      </c>
      <c r="J90" s="233"/>
    </row>
    <row r="91" spans="1:10" s="24" customFormat="1" ht="12.75" customHeight="1">
      <c r="A91" s="24" t="s">
        <v>639</v>
      </c>
      <c r="B91" s="5">
        <v>2003</v>
      </c>
      <c r="C91" s="20" t="s">
        <v>467</v>
      </c>
      <c r="D91" s="27" t="s">
        <v>642</v>
      </c>
      <c r="E91" s="27"/>
      <c r="F91" s="90">
        <v>35.6</v>
      </c>
      <c r="G91" s="87"/>
      <c r="H91" s="128">
        <v>3925.5873684210524</v>
      </c>
      <c r="I91" s="15">
        <f t="shared" si="5"/>
        <v>110.26930810171496</v>
      </c>
      <c r="J91" s="233"/>
    </row>
    <row r="92" spans="1:10" s="24" customFormat="1" ht="12.75" customHeight="1">
      <c r="A92" s="24" t="s">
        <v>639</v>
      </c>
      <c r="B92" s="5">
        <v>2003</v>
      </c>
      <c r="C92" s="20" t="s">
        <v>467</v>
      </c>
      <c r="D92" s="27" t="s">
        <v>640</v>
      </c>
      <c r="E92" s="27"/>
      <c r="F92" s="90">
        <v>32</v>
      </c>
      <c r="G92" s="87"/>
      <c r="H92" s="128">
        <v>3778.1068421052632</v>
      </c>
      <c r="I92" s="15">
        <f t="shared" si="5"/>
        <v>118.06583881578948</v>
      </c>
      <c r="J92" s="233"/>
    </row>
    <row r="93" spans="1:10" s="24" customFormat="1" ht="12.75" customHeight="1">
      <c r="A93" s="24" t="s">
        <v>639</v>
      </c>
      <c r="B93" s="5">
        <v>2003</v>
      </c>
      <c r="C93" s="20" t="s">
        <v>648</v>
      </c>
      <c r="D93" s="27" t="s">
        <v>643</v>
      </c>
      <c r="E93" s="27"/>
      <c r="F93" s="90">
        <v>11</v>
      </c>
      <c r="G93" s="87"/>
      <c r="H93" s="128">
        <v>835.2631578947369</v>
      </c>
      <c r="I93" s="15">
        <f t="shared" si="5"/>
        <v>75.93301435406698</v>
      </c>
      <c r="J93" s="233"/>
    </row>
    <row r="94" spans="1:10" s="24" customFormat="1" ht="12.75" customHeight="1">
      <c r="A94" s="24" t="s">
        <v>639</v>
      </c>
      <c r="B94" s="5">
        <v>2003</v>
      </c>
      <c r="D94" s="24" t="s">
        <v>482</v>
      </c>
      <c r="F94" s="26">
        <f>653+1397</f>
        <v>2050</v>
      </c>
      <c r="G94" s="87"/>
      <c r="H94" s="128">
        <f>59284.4736842105+385998</f>
        <v>445282.4736842105</v>
      </c>
      <c r="I94" s="15">
        <f t="shared" si="5"/>
        <v>217.21096277278562</v>
      </c>
      <c r="J94" s="233"/>
    </row>
    <row r="95" spans="2:9" s="24" customFormat="1" ht="12.75" customHeight="1">
      <c r="B95" s="5"/>
      <c r="F95" s="26"/>
      <c r="G95" s="87"/>
      <c r="H95" s="128"/>
      <c r="I95" s="26"/>
    </row>
    <row r="96" spans="1:9" s="24" customFormat="1" ht="12.75" customHeight="1">
      <c r="A96" s="24" t="s">
        <v>639</v>
      </c>
      <c r="B96" s="5">
        <v>2004</v>
      </c>
      <c r="C96" s="20" t="s">
        <v>467</v>
      </c>
      <c r="D96" s="27" t="s">
        <v>313</v>
      </c>
      <c r="E96" s="27"/>
      <c r="F96" s="90">
        <v>1732</v>
      </c>
      <c r="G96" s="87"/>
      <c r="H96" s="128">
        <v>183040.5263157895</v>
      </c>
      <c r="I96" s="15">
        <f>$H96/$F96</f>
        <v>105.68159718001704</v>
      </c>
    </row>
    <row r="97" spans="1:9" s="24" customFormat="1" ht="12.75" customHeight="1">
      <c r="A97" s="24" t="s">
        <v>639</v>
      </c>
      <c r="B97" s="5">
        <v>2004</v>
      </c>
      <c r="C97" s="31" t="s">
        <v>464</v>
      </c>
      <c r="D97" s="27" t="s">
        <v>353</v>
      </c>
      <c r="E97" s="27"/>
      <c r="F97" s="90">
        <v>478</v>
      </c>
      <c r="G97" s="87"/>
      <c r="H97" s="128">
        <v>61346.85578947369</v>
      </c>
      <c r="I97" s="15">
        <f t="shared" si="5"/>
        <v>128.34070248843867</v>
      </c>
    </row>
    <row r="98" spans="1:9" s="24" customFormat="1" ht="12.75" customHeight="1">
      <c r="A98" s="24" t="s">
        <v>639</v>
      </c>
      <c r="B98" s="5">
        <v>2004</v>
      </c>
      <c r="C98" s="31" t="s">
        <v>647</v>
      </c>
      <c r="D98" s="27" t="s">
        <v>646</v>
      </c>
      <c r="E98" s="27"/>
      <c r="F98" s="90">
        <v>443</v>
      </c>
      <c r="G98" s="87"/>
      <c r="H98" s="128">
        <v>65658.79421052632</v>
      </c>
      <c r="I98" s="15">
        <f t="shared" si="5"/>
        <v>148.21398241653796</v>
      </c>
    </row>
    <row r="99" spans="1:9" s="24" customFormat="1" ht="12.75" customHeight="1">
      <c r="A99" s="24" t="s">
        <v>639</v>
      </c>
      <c r="B99" s="5">
        <v>2004</v>
      </c>
      <c r="C99" s="31" t="s">
        <v>469</v>
      </c>
      <c r="D99" s="27" t="s">
        <v>337</v>
      </c>
      <c r="E99" s="27"/>
      <c r="F99" s="90">
        <v>401</v>
      </c>
      <c r="G99" s="87"/>
      <c r="H99" s="128">
        <v>45711.57894736842</v>
      </c>
      <c r="I99" s="15">
        <f t="shared" si="5"/>
        <v>113.99396246226539</v>
      </c>
    </row>
    <row r="100" spans="1:9" s="24" customFormat="1" ht="12.75" customHeight="1">
      <c r="A100" s="24" t="s">
        <v>639</v>
      </c>
      <c r="B100" s="5">
        <v>2004</v>
      </c>
      <c r="C100" s="31" t="s">
        <v>645</v>
      </c>
      <c r="D100" s="27" t="s">
        <v>644</v>
      </c>
      <c r="E100" s="27"/>
      <c r="F100" s="90">
        <v>147</v>
      </c>
      <c r="G100" s="87"/>
      <c r="H100" s="128">
        <f>56885/3.8</f>
        <v>14969.736842105263</v>
      </c>
      <c r="I100" s="15">
        <f t="shared" si="5"/>
        <v>101.83494450411744</v>
      </c>
    </row>
    <row r="101" spans="1:9" s="24" customFormat="1" ht="12.75" customHeight="1">
      <c r="A101" s="24" t="s">
        <v>639</v>
      </c>
      <c r="B101" s="5">
        <v>2004</v>
      </c>
      <c r="C101" s="20" t="s">
        <v>467</v>
      </c>
      <c r="D101" s="27" t="s">
        <v>642</v>
      </c>
      <c r="E101" s="27"/>
      <c r="F101" s="90">
        <v>86.58</v>
      </c>
      <c r="G101" s="87"/>
      <c r="H101" s="128">
        <v>10521.783684210528</v>
      </c>
      <c r="I101" s="15">
        <f t="shared" si="5"/>
        <v>121.52672307935468</v>
      </c>
    </row>
    <row r="102" spans="1:9" s="24" customFormat="1" ht="12.75" customHeight="1">
      <c r="A102" s="24" t="s">
        <v>639</v>
      </c>
      <c r="B102" s="5">
        <v>2004</v>
      </c>
      <c r="C102" s="31" t="s">
        <v>720</v>
      </c>
      <c r="D102" s="27" t="s">
        <v>641</v>
      </c>
      <c r="E102" s="27"/>
      <c r="F102" s="90">
        <v>43</v>
      </c>
      <c r="G102" s="87"/>
      <c r="H102" s="128">
        <v>5190.675</v>
      </c>
      <c r="I102" s="15">
        <f t="shared" si="5"/>
        <v>120.71337209302327</v>
      </c>
    </row>
    <row r="103" spans="1:9" s="24" customFormat="1" ht="12.75" customHeight="1">
      <c r="A103" s="24" t="s">
        <v>639</v>
      </c>
      <c r="B103" s="5">
        <v>2004</v>
      </c>
      <c r="C103" s="20" t="s">
        <v>467</v>
      </c>
      <c r="D103" s="27" t="s">
        <v>640</v>
      </c>
      <c r="E103" s="27"/>
      <c r="F103" s="90">
        <v>41.5</v>
      </c>
      <c r="G103" s="87"/>
      <c r="H103" s="128">
        <v>4799.476315789474</v>
      </c>
      <c r="I103" s="15">
        <f t="shared" si="5"/>
        <v>115.65003170577046</v>
      </c>
    </row>
    <row r="104" spans="1:9" s="24" customFormat="1" ht="12.75" customHeight="1">
      <c r="A104" s="24" t="s">
        <v>639</v>
      </c>
      <c r="B104" s="5">
        <v>2004</v>
      </c>
      <c r="C104" s="20" t="s">
        <v>648</v>
      </c>
      <c r="D104" s="27" t="s">
        <v>643</v>
      </c>
      <c r="E104" s="27"/>
      <c r="F104" s="90">
        <v>6</v>
      </c>
      <c r="G104" s="87"/>
      <c r="H104" s="128">
        <v>384.2105263157895</v>
      </c>
      <c r="I104" s="15">
        <f t="shared" si="5"/>
        <v>64.03508771929825</v>
      </c>
    </row>
    <row r="105" spans="1:9" s="24" customFormat="1" ht="12.75" customHeight="1">
      <c r="A105" s="24" t="s">
        <v>639</v>
      </c>
      <c r="B105" s="5">
        <v>2004</v>
      </c>
      <c r="D105" s="24" t="s">
        <v>482</v>
      </c>
      <c r="F105" s="26">
        <f>177+1179</f>
        <v>1356</v>
      </c>
      <c r="G105" s="87"/>
      <c r="H105" s="128">
        <f>19192.6315789474+376682/3.8</f>
        <v>118319.47368421056</v>
      </c>
      <c r="I105" s="15">
        <f t="shared" si="5"/>
        <v>87.2562490296538</v>
      </c>
    </row>
    <row r="106" spans="2:9" s="24" customFormat="1" ht="12.75" customHeight="1">
      <c r="B106" s="5"/>
      <c r="F106" s="26"/>
      <c r="G106" s="87"/>
      <c r="H106" s="128"/>
      <c r="I106" s="26"/>
    </row>
    <row r="107" spans="2:9" s="24" customFormat="1" ht="3" customHeight="1">
      <c r="B107" s="5"/>
      <c r="F107" s="26"/>
      <c r="G107" s="87"/>
      <c r="H107" s="128"/>
      <c r="I107" s="26"/>
    </row>
    <row r="108" spans="1:9" s="24" customFormat="1" ht="12.75" customHeight="1">
      <c r="A108" s="24" t="s">
        <v>198</v>
      </c>
      <c r="B108" s="5">
        <v>2003</v>
      </c>
      <c r="C108" s="31" t="s">
        <v>5</v>
      </c>
      <c r="D108" s="27" t="s">
        <v>362</v>
      </c>
      <c r="E108" s="43"/>
      <c r="F108" s="90">
        <v>480.808</v>
      </c>
      <c r="G108" s="86"/>
      <c r="H108" s="128">
        <v>201559</v>
      </c>
      <c r="I108" s="26">
        <f aca="true" t="shared" si="6" ref="I108:I120">$H108/$F108</f>
        <v>419.20891499309494</v>
      </c>
    </row>
    <row r="109" spans="1:9" s="24" customFormat="1" ht="12.75" customHeight="1">
      <c r="A109" s="24" t="s">
        <v>198</v>
      </c>
      <c r="B109" s="5">
        <v>2003</v>
      </c>
      <c r="C109" s="31" t="s">
        <v>464</v>
      </c>
      <c r="D109" s="27" t="s">
        <v>408</v>
      </c>
      <c r="E109" s="43"/>
      <c r="F109" s="90">
        <v>423.204</v>
      </c>
      <c r="G109" s="86"/>
      <c r="H109" s="128">
        <v>44806</v>
      </c>
      <c r="I109" s="26">
        <f t="shared" si="6"/>
        <v>105.8732904225858</v>
      </c>
    </row>
    <row r="110" spans="1:9" s="24" customFormat="1" ht="12.75" customHeight="1">
      <c r="A110" s="24" t="s">
        <v>198</v>
      </c>
      <c r="B110" s="5">
        <v>2003</v>
      </c>
      <c r="C110" s="31" t="s">
        <v>69</v>
      </c>
      <c r="D110" s="27" t="s">
        <v>409</v>
      </c>
      <c r="E110" s="43"/>
      <c r="F110" s="90">
        <v>258.446</v>
      </c>
      <c r="G110" s="86"/>
      <c r="H110" s="128">
        <v>26376</v>
      </c>
      <c r="I110" s="26">
        <f t="shared" si="6"/>
        <v>102.056135517671</v>
      </c>
    </row>
    <row r="111" spans="1:9" s="24" customFormat="1" ht="12.75" customHeight="1">
      <c r="A111" s="24" t="s">
        <v>198</v>
      </c>
      <c r="B111" s="5">
        <v>2003</v>
      </c>
      <c r="C111" s="31" t="s">
        <v>70</v>
      </c>
      <c r="D111" s="27" t="s">
        <v>410</v>
      </c>
      <c r="E111" s="43"/>
      <c r="F111" s="90">
        <v>49.829</v>
      </c>
      <c r="G111" s="86"/>
      <c r="H111" s="128">
        <v>5342</v>
      </c>
      <c r="I111" s="26">
        <f t="shared" si="6"/>
        <v>107.20664673182283</v>
      </c>
    </row>
    <row r="112" spans="1:9" s="24" customFormat="1" ht="12.75" customHeight="1">
      <c r="A112" s="24" t="s">
        <v>198</v>
      </c>
      <c r="B112" s="5">
        <v>2003</v>
      </c>
      <c r="C112" s="31" t="s">
        <v>200</v>
      </c>
      <c r="D112" s="27" t="s">
        <v>420</v>
      </c>
      <c r="E112" s="43"/>
      <c r="F112" s="90">
        <v>25.805</v>
      </c>
      <c r="G112" s="86"/>
      <c r="H112" s="128">
        <v>2757</v>
      </c>
      <c r="I112" s="26">
        <f t="shared" si="6"/>
        <v>106.83975973648518</v>
      </c>
    </row>
    <row r="113" spans="1:9" s="24" customFormat="1" ht="12.75" customHeight="1">
      <c r="A113" s="24" t="s">
        <v>198</v>
      </c>
      <c r="B113" s="5">
        <v>2003</v>
      </c>
      <c r="C113" s="31" t="s">
        <v>199</v>
      </c>
      <c r="D113" s="27" t="s">
        <v>411</v>
      </c>
      <c r="E113" s="43"/>
      <c r="F113" s="90">
        <v>15.438</v>
      </c>
      <c r="G113" s="86"/>
      <c r="H113" s="128">
        <v>1650</v>
      </c>
      <c r="I113" s="26">
        <f t="shared" si="6"/>
        <v>106.87912942090944</v>
      </c>
    </row>
    <row r="114" spans="1:9" s="24" customFormat="1" ht="12.75" customHeight="1">
      <c r="A114" s="24" t="s">
        <v>198</v>
      </c>
      <c r="B114" s="5">
        <v>2003</v>
      </c>
      <c r="C114" s="31" t="s">
        <v>89</v>
      </c>
      <c r="D114" s="27" t="s">
        <v>412</v>
      </c>
      <c r="E114" s="43"/>
      <c r="F114" s="90">
        <v>14.563</v>
      </c>
      <c r="G114" s="86"/>
      <c r="H114" s="128">
        <v>1432</v>
      </c>
      <c r="I114" s="26">
        <f t="shared" si="6"/>
        <v>98.33138776351026</v>
      </c>
    </row>
    <row r="115" spans="1:9" s="24" customFormat="1" ht="12.75" customHeight="1">
      <c r="A115" s="24" t="s">
        <v>198</v>
      </c>
      <c r="B115" s="5">
        <v>2003</v>
      </c>
      <c r="C115" s="31" t="s">
        <v>68</v>
      </c>
      <c r="D115" s="27" t="s">
        <v>414</v>
      </c>
      <c r="E115" s="43"/>
      <c r="F115" s="90">
        <v>6.997</v>
      </c>
      <c r="G115" s="86"/>
      <c r="H115" s="128">
        <v>644</v>
      </c>
      <c r="I115" s="26">
        <f t="shared" si="6"/>
        <v>92.03944547663285</v>
      </c>
    </row>
    <row r="116" spans="1:9" s="24" customFormat="1" ht="12.75" customHeight="1">
      <c r="A116" s="24" t="s">
        <v>198</v>
      </c>
      <c r="B116" s="5">
        <v>2003</v>
      </c>
      <c r="C116" s="31" t="s">
        <v>52</v>
      </c>
      <c r="D116" s="27" t="s">
        <v>417</v>
      </c>
      <c r="E116" s="43"/>
      <c r="F116" s="90">
        <v>1.965</v>
      </c>
      <c r="G116" s="86"/>
      <c r="H116" s="128">
        <v>211</v>
      </c>
      <c r="I116" s="26">
        <f t="shared" si="6"/>
        <v>107.37913486005088</v>
      </c>
    </row>
    <row r="117" spans="1:9" s="24" customFormat="1" ht="12.75" customHeight="1">
      <c r="A117" s="24" t="s">
        <v>198</v>
      </c>
      <c r="B117" s="5">
        <v>2003</v>
      </c>
      <c r="C117" s="31" t="s">
        <v>201</v>
      </c>
      <c r="D117" s="27" t="s">
        <v>416</v>
      </c>
      <c r="E117" s="43"/>
      <c r="F117" s="90">
        <v>1.089</v>
      </c>
      <c r="G117" s="86"/>
      <c r="H117" s="128">
        <v>116</v>
      </c>
      <c r="I117" s="26">
        <f t="shared" si="6"/>
        <v>106.51974288337925</v>
      </c>
    </row>
    <row r="118" spans="1:9" s="24" customFormat="1" ht="12.75" customHeight="1">
      <c r="A118" s="24" t="s">
        <v>198</v>
      </c>
      <c r="B118" s="5">
        <v>2003</v>
      </c>
      <c r="C118" s="31" t="s">
        <v>48</v>
      </c>
      <c r="D118" s="27" t="s">
        <v>415</v>
      </c>
      <c r="E118" s="43"/>
      <c r="F118" s="90">
        <v>0.836</v>
      </c>
      <c r="G118" s="86"/>
      <c r="H118" s="128">
        <v>89</v>
      </c>
      <c r="I118" s="26">
        <f t="shared" si="6"/>
        <v>106.45933014354067</v>
      </c>
    </row>
    <row r="119" spans="1:9" s="24" customFormat="1" ht="12.75" customHeight="1">
      <c r="A119" s="24" t="s">
        <v>198</v>
      </c>
      <c r="B119" s="5">
        <v>2003</v>
      </c>
      <c r="C119" s="31" t="s">
        <v>49</v>
      </c>
      <c r="D119" s="27" t="s">
        <v>413</v>
      </c>
      <c r="E119" s="43"/>
      <c r="F119" s="90">
        <v>0.582</v>
      </c>
      <c r="G119" s="86"/>
      <c r="H119" s="128">
        <v>63</v>
      </c>
      <c r="I119" s="26">
        <f t="shared" si="6"/>
        <v>108.24742268041238</v>
      </c>
    </row>
    <row r="120" spans="1:9" s="24" customFormat="1" ht="12.75" customHeight="1">
      <c r="A120" s="24" t="s">
        <v>198</v>
      </c>
      <c r="B120" s="5">
        <v>2003</v>
      </c>
      <c r="C120" s="31" t="s">
        <v>51</v>
      </c>
      <c r="D120" s="27" t="s">
        <v>418</v>
      </c>
      <c r="E120" s="43"/>
      <c r="F120" s="90">
        <v>0.018</v>
      </c>
      <c r="G120" s="86" t="s">
        <v>10</v>
      </c>
      <c r="H120" s="128">
        <v>2</v>
      </c>
      <c r="I120" s="26">
        <f t="shared" si="6"/>
        <v>111.11111111111111</v>
      </c>
    </row>
    <row r="121" spans="2:9" s="24" customFormat="1" ht="12.75" customHeight="1">
      <c r="B121" s="5"/>
      <c r="C121" s="31"/>
      <c r="D121" s="27"/>
      <c r="E121" s="43"/>
      <c r="F121" s="90"/>
      <c r="G121" s="86"/>
      <c r="H121" s="128"/>
      <c r="I121" s="26"/>
    </row>
    <row r="122" spans="1:9" s="24" customFormat="1" ht="12.75" customHeight="1">
      <c r="A122" s="24" t="s">
        <v>198</v>
      </c>
      <c r="B122" s="5">
        <v>2004</v>
      </c>
      <c r="C122" s="31" t="s">
        <v>464</v>
      </c>
      <c r="D122" s="27" t="s">
        <v>408</v>
      </c>
      <c r="E122" s="43"/>
      <c r="F122" s="90">
        <v>516.896</v>
      </c>
      <c r="G122" s="86"/>
      <c r="H122" s="128">
        <v>43216</v>
      </c>
      <c r="I122" s="26">
        <f aca="true" t="shared" si="7" ref="I122:I132">$H122/$F122</f>
        <v>83.60676035411379</v>
      </c>
    </row>
    <row r="123" spans="1:9" s="24" customFormat="1" ht="12.75" customHeight="1">
      <c r="A123" s="24" t="s">
        <v>198</v>
      </c>
      <c r="B123" s="5">
        <v>2004</v>
      </c>
      <c r="C123" s="31" t="s">
        <v>5</v>
      </c>
      <c r="D123" s="27" t="s">
        <v>362</v>
      </c>
      <c r="E123" s="43"/>
      <c r="F123" s="90">
        <v>491.518</v>
      </c>
      <c r="G123" s="86"/>
      <c r="H123" s="128">
        <v>158744</v>
      </c>
      <c r="I123" s="26">
        <f t="shared" si="7"/>
        <v>322.9668089469765</v>
      </c>
    </row>
    <row r="124" spans="1:9" s="24" customFormat="1" ht="12.75" customHeight="1">
      <c r="A124" s="24" t="s">
        <v>198</v>
      </c>
      <c r="B124" s="5">
        <v>2004</v>
      </c>
      <c r="C124" s="31" t="s">
        <v>69</v>
      </c>
      <c r="D124" s="27" t="s">
        <v>409</v>
      </c>
      <c r="E124" s="43"/>
      <c r="F124" s="90">
        <v>305.73</v>
      </c>
      <c r="G124" s="86"/>
      <c r="H124" s="128">
        <v>25829</v>
      </c>
      <c r="I124" s="26">
        <f t="shared" si="7"/>
        <v>84.48304059137146</v>
      </c>
    </row>
    <row r="125" spans="1:9" s="24" customFormat="1" ht="12.75" customHeight="1">
      <c r="A125" s="24" t="s">
        <v>198</v>
      </c>
      <c r="B125" s="5">
        <v>2004</v>
      </c>
      <c r="C125" s="31" t="s">
        <v>199</v>
      </c>
      <c r="D125" s="27" t="s">
        <v>411</v>
      </c>
      <c r="E125" s="43"/>
      <c r="F125" s="90">
        <v>15.389</v>
      </c>
      <c r="G125" s="86"/>
      <c r="H125" s="128">
        <v>1293</v>
      </c>
      <c r="I125" s="26">
        <f t="shared" si="7"/>
        <v>84.02105399961012</v>
      </c>
    </row>
    <row r="126" spans="1:9" s="24" customFormat="1" ht="12.75" customHeight="1">
      <c r="A126" s="24" t="s">
        <v>198</v>
      </c>
      <c r="B126" s="5">
        <v>2004</v>
      </c>
      <c r="C126" s="31" t="s">
        <v>68</v>
      </c>
      <c r="D126" s="27" t="s">
        <v>414</v>
      </c>
      <c r="E126" s="43"/>
      <c r="F126" s="90">
        <v>13.276</v>
      </c>
      <c r="G126" s="86"/>
      <c r="H126" s="128">
        <v>1186</v>
      </c>
      <c r="I126" s="26">
        <f t="shared" si="7"/>
        <v>89.33413678818921</v>
      </c>
    </row>
    <row r="127" spans="1:9" s="24" customFormat="1" ht="12.75" customHeight="1">
      <c r="A127" s="24" t="s">
        <v>198</v>
      </c>
      <c r="B127" s="5">
        <v>2004</v>
      </c>
      <c r="C127" s="31" t="s">
        <v>89</v>
      </c>
      <c r="D127" s="27" t="s">
        <v>412</v>
      </c>
      <c r="E127" s="43"/>
      <c r="F127" s="90">
        <v>10.066</v>
      </c>
      <c r="G127" s="86"/>
      <c r="H127" s="128">
        <v>809</v>
      </c>
      <c r="I127" s="26">
        <f t="shared" si="7"/>
        <v>80.36956089807272</v>
      </c>
    </row>
    <row r="128" spans="1:9" s="24" customFormat="1" ht="12.75" customHeight="1">
      <c r="A128" s="24" t="s">
        <v>198</v>
      </c>
      <c r="B128" s="5">
        <v>2004</v>
      </c>
      <c r="C128" s="31" t="s">
        <v>70</v>
      </c>
      <c r="D128" s="27" t="s">
        <v>410</v>
      </c>
      <c r="E128" s="43"/>
      <c r="F128" s="90">
        <v>8.862</v>
      </c>
      <c r="G128" s="86"/>
      <c r="H128" s="128">
        <v>754</v>
      </c>
      <c r="I128" s="26">
        <f t="shared" si="7"/>
        <v>85.08237418190025</v>
      </c>
    </row>
    <row r="129" spans="1:9" s="24" customFormat="1" ht="12.75" customHeight="1">
      <c r="A129" s="24" t="s">
        <v>198</v>
      </c>
      <c r="B129" s="5">
        <v>2004</v>
      </c>
      <c r="C129" s="31" t="s">
        <v>200</v>
      </c>
      <c r="D129" s="27" t="s">
        <v>420</v>
      </c>
      <c r="E129" s="43"/>
      <c r="F129" s="90">
        <v>6.642</v>
      </c>
      <c r="G129" s="86"/>
      <c r="H129" s="128">
        <v>558</v>
      </c>
      <c r="I129" s="26">
        <f t="shared" si="7"/>
        <v>84.01084010840108</v>
      </c>
    </row>
    <row r="130" spans="1:9" s="24" customFormat="1" ht="12.75" customHeight="1">
      <c r="A130" s="24" t="s">
        <v>198</v>
      </c>
      <c r="B130" s="5">
        <v>2004</v>
      </c>
      <c r="C130" s="31" t="s">
        <v>49</v>
      </c>
      <c r="D130" s="27" t="s">
        <v>413</v>
      </c>
      <c r="E130" s="43"/>
      <c r="F130" s="90">
        <v>1.251</v>
      </c>
      <c r="G130" s="86"/>
      <c r="H130" s="128">
        <v>104</v>
      </c>
      <c r="I130" s="26">
        <f t="shared" si="7"/>
        <v>83.13349320543566</v>
      </c>
    </row>
    <row r="131" spans="1:9" s="24" customFormat="1" ht="12.75" customHeight="1">
      <c r="A131" s="24" t="s">
        <v>198</v>
      </c>
      <c r="B131" s="5">
        <v>2004</v>
      </c>
      <c r="C131" s="31" t="s">
        <v>201</v>
      </c>
      <c r="D131" s="27" t="s">
        <v>416</v>
      </c>
      <c r="E131" s="43"/>
      <c r="F131" s="90">
        <v>0.508</v>
      </c>
      <c r="G131" s="86"/>
      <c r="H131" s="128">
        <v>43</v>
      </c>
      <c r="I131" s="26">
        <f t="shared" si="7"/>
        <v>84.64566929133858</v>
      </c>
    </row>
    <row r="132" spans="1:9" s="24" customFormat="1" ht="12.75" customHeight="1">
      <c r="A132" s="24" t="s">
        <v>198</v>
      </c>
      <c r="B132" s="5">
        <v>2004</v>
      </c>
      <c r="C132" s="31" t="s">
        <v>51</v>
      </c>
      <c r="D132" s="27" t="s">
        <v>418</v>
      </c>
      <c r="E132" s="43"/>
      <c r="F132" s="90">
        <v>0.058</v>
      </c>
      <c r="G132" s="86" t="s">
        <v>10</v>
      </c>
      <c r="H132" s="128">
        <v>5</v>
      </c>
      <c r="I132" s="26">
        <f t="shared" si="7"/>
        <v>86.20689655172413</v>
      </c>
    </row>
    <row r="133" spans="2:9" s="24" customFormat="1" ht="12.75" customHeight="1">
      <c r="B133" s="5"/>
      <c r="C133" s="31"/>
      <c r="D133" s="27"/>
      <c r="E133" s="43"/>
      <c r="F133" s="90"/>
      <c r="G133" s="86"/>
      <c r="H133" s="128"/>
      <c r="I133" s="26"/>
    </row>
    <row r="134" spans="1:9" s="24" customFormat="1" ht="12.75" customHeight="1">
      <c r="A134" s="24" t="s">
        <v>293</v>
      </c>
      <c r="B134" s="22" t="s">
        <v>682</v>
      </c>
      <c r="C134" s="28" t="s">
        <v>5</v>
      </c>
      <c r="D134" s="10" t="s">
        <v>362</v>
      </c>
      <c r="E134" s="43"/>
      <c r="F134" s="84">
        <v>5</v>
      </c>
      <c r="G134" s="86"/>
      <c r="H134" s="139">
        <f>14441</f>
        <v>14441</v>
      </c>
      <c r="I134" s="59">
        <f>$H134/$F134</f>
        <v>2888.2</v>
      </c>
    </row>
    <row r="135" spans="1:9" s="24" customFormat="1" ht="12.75" customHeight="1">
      <c r="A135" s="24" t="s">
        <v>293</v>
      </c>
      <c r="B135" s="22" t="s">
        <v>682</v>
      </c>
      <c r="C135" s="31" t="s">
        <v>465</v>
      </c>
      <c r="D135" s="27" t="s">
        <v>372</v>
      </c>
      <c r="E135" s="43"/>
      <c r="F135" s="84">
        <v>3</v>
      </c>
      <c r="G135" s="86"/>
      <c r="H135" s="139">
        <f>2514</f>
        <v>2514</v>
      </c>
      <c r="I135" s="59">
        <f>$H135/$F135</f>
        <v>838</v>
      </c>
    </row>
    <row r="136" spans="1:9" s="8" customFormat="1" ht="12.75" customHeight="1">
      <c r="A136" s="8" t="s">
        <v>293</v>
      </c>
      <c r="B136" s="22">
        <v>2003</v>
      </c>
      <c r="C136" s="9"/>
      <c r="D136" s="10" t="s">
        <v>482</v>
      </c>
      <c r="E136" s="81"/>
      <c r="F136" s="40">
        <v>0.068</v>
      </c>
      <c r="G136" s="101" t="s">
        <v>10</v>
      </c>
      <c r="H136" s="123"/>
      <c r="I136" s="69">
        <f>12/F136</f>
        <v>176.47058823529412</v>
      </c>
    </row>
    <row r="137" spans="2:9" s="8" customFormat="1" ht="12.75" customHeight="1">
      <c r="B137" s="22"/>
      <c r="C137" s="9"/>
      <c r="D137" s="10"/>
      <c r="E137" s="81"/>
      <c r="F137" s="40"/>
      <c r="G137" s="101"/>
      <c r="H137" s="123"/>
      <c r="I137" s="69"/>
    </row>
    <row r="138" spans="1:9" s="8" customFormat="1" ht="12.75" customHeight="1">
      <c r="A138" s="8" t="s">
        <v>293</v>
      </c>
      <c r="B138" s="22">
        <v>2004</v>
      </c>
      <c r="C138" s="9" t="s">
        <v>5</v>
      </c>
      <c r="D138" s="10" t="s">
        <v>362</v>
      </c>
      <c r="E138" s="81"/>
      <c r="F138" s="40">
        <v>0.988</v>
      </c>
      <c r="G138" s="101"/>
      <c r="H138" s="123"/>
      <c r="I138" s="69">
        <f>200.6/F138</f>
        <v>203.03643724696357</v>
      </c>
    </row>
    <row r="139" spans="1:9" s="8" customFormat="1" ht="12.75" customHeight="1">
      <c r="A139" s="8" t="s">
        <v>293</v>
      </c>
      <c r="B139" s="22">
        <v>2004</v>
      </c>
      <c r="C139" s="9" t="s">
        <v>740</v>
      </c>
      <c r="D139" s="10" t="s">
        <v>732</v>
      </c>
      <c r="E139" s="81"/>
      <c r="F139" s="40">
        <v>0.445</v>
      </c>
      <c r="G139" s="101" t="s">
        <v>10</v>
      </c>
      <c r="H139" s="123"/>
      <c r="I139" s="69">
        <f>100.257/F139</f>
        <v>225.29662921348316</v>
      </c>
    </row>
    <row r="140" spans="1:9" s="8" customFormat="1" ht="12.75" customHeight="1">
      <c r="A140" s="8" t="s">
        <v>293</v>
      </c>
      <c r="B140" s="22">
        <v>2004</v>
      </c>
      <c r="C140" s="9" t="s">
        <v>741</v>
      </c>
      <c r="D140" s="10" t="s">
        <v>739</v>
      </c>
      <c r="E140" s="81"/>
      <c r="F140" s="40">
        <v>0.025</v>
      </c>
      <c r="G140" s="101" t="s">
        <v>10</v>
      </c>
      <c r="H140" s="123"/>
      <c r="I140" s="69">
        <f>13.696/F140</f>
        <v>547.8399999999999</v>
      </c>
    </row>
    <row r="141" spans="1:9" s="8" customFormat="1" ht="12.75" customHeight="1">
      <c r="A141" s="8" t="s">
        <v>293</v>
      </c>
      <c r="B141" s="22">
        <v>2004</v>
      </c>
      <c r="C141" s="9"/>
      <c r="D141" s="10" t="s">
        <v>482</v>
      </c>
      <c r="E141" s="81"/>
      <c r="F141" s="40">
        <v>0.006</v>
      </c>
      <c r="G141" s="101" t="s">
        <v>10</v>
      </c>
      <c r="H141" s="123"/>
      <c r="I141" s="69">
        <f>1.65/F141</f>
        <v>275</v>
      </c>
    </row>
    <row r="142" spans="2:9" s="8" customFormat="1" ht="12.75" customHeight="1">
      <c r="B142" s="22"/>
      <c r="C142" s="9"/>
      <c r="D142" s="10"/>
      <c r="E142" s="81"/>
      <c r="F142" s="40"/>
      <c r="G142" s="101"/>
      <c r="H142" s="123"/>
      <c r="I142" s="69"/>
    </row>
    <row r="143" spans="1:9" s="8" customFormat="1" ht="12.75" customHeight="1">
      <c r="A143" s="8" t="s">
        <v>27</v>
      </c>
      <c r="B143" s="22">
        <v>2003</v>
      </c>
      <c r="C143" s="9" t="s">
        <v>203</v>
      </c>
      <c r="D143" s="10" t="s">
        <v>421</v>
      </c>
      <c r="E143" s="10"/>
      <c r="F143" s="40">
        <v>2.25</v>
      </c>
      <c r="G143" s="79"/>
      <c r="H143" s="128">
        <f>100.014</f>
        <v>100.014</v>
      </c>
      <c r="I143" s="26">
        <f>$H143/$F143</f>
        <v>44.45066666666666</v>
      </c>
    </row>
    <row r="144" spans="1:9" s="8" customFormat="1" ht="12.75" customHeight="1">
      <c r="A144" s="8" t="s">
        <v>27</v>
      </c>
      <c r="B144" s="22">
        <v>2003</v>
      </c>
      <c r="C144" s="9" t="s">
        <v>204</v>
      </c>
      <c r="D144" s="10" t="s">
        <v>422</v>
      </c>
      <c r="E144" s="10"/>
      <c r="F144" s="40">
        <v>2.035</v>
      </c>
      <c r="G144" s="79"/>
      <c r="H144" s="128">
        <f>359.464</f>
        <v>359.464</v>
      </c>
      <c r="I144" s="26">
        <f>$H144/$F144</f>
        <v>176.64078624078624</v>
      </c>
    </row>
    <row r="145" spans="1:9" s="8" customFormat="1" ht="12.75" customHeight="1">
      <c r="A145" s="8" t="s">
        <v>27</v>
      </c>
      <c r="B145" s="22">
        <v>2003</v>
      </c>
      <c r="C145" s="9" t="s">
        <v>669</v>
      </c>
      <c r="D145" s="10" t="s">
        <v>658</v>
      </c>
      <c r="E145" s="10"/>
      <c r="F145" s="40">
        <v>0.035</v>
      </c>
      <c r="G145" s="86" t="s">
        <v>10</v>
      </c>
      <c r="H145" s="128">
        <f>33.014</f>
        <v>33.014</v>
      </c>
      <c r="I145" s="26">
        <f>$H145/$F145</f>
        <v>943.2571428571429</v>
      </c>
    </row>
    <row r="146" spans="2:9" s="8" customFormat="1" ht="12.75" customHeight="1">
      <c r="B146" s="22"/>
      <c r="C146" s="151"/>
      <c r="D146" s="230"/>
      <c r="E146" s="10"/>
      <c r="F146" s="84"/>
      <c r="G146" s="79"/>
      <c r="H146" s="140"/>
      <c r="I146" s="67"/>
    </row>
    <row r="147" spans="1:9" s="8" customFormat="1" ht="12.75" customHeight="1">
      <c r="A147" s="8" t="s">
        <v>27</v>
      </c>
      <c r="B147" s="22">
        <v>2004</v>
      </c>
      <c r="C147" s="9" t="s">
        <v>203</v>
      </c>
      <c r="D147" s="10" t="s">
        <v>421</v>
      </c>
      <c r="E147" s="10"/>
      <c r="F147" s="67">
        <v>4.939</v>
      </c>
      <c r="G147" s="79"/>
      <c r="H147" s="128">
        <v>71.021</v>
      </c>
      <c r="I147" s="26">
        <f>H147/F147</f>
        <v>14.379631504353108</v>
      </c>
    </row>
    <row r="148" spans="1:9" s="8" customFormat="1" ht="12.75" customHeight="1">
      <c r="A148" s="8" t="s">
        <v>27</v>
      </c>
      <c r="B148" s="22">
        <v>2004</v>
      </c>
      <c r="C148" s="9" t="s">
        <v>204</v>
      </c>
      <c r="D148" s="10" t="s">
        <v>422</v>
      </c>
      <c r="E148" s="10"/>
      <c r="F148" s="67">
        <v>1.222</v>
      </c>
      <c r="G148" s="79"/>
      <c r="H148" s="128">
        <v>500.754</v>
      </c>
      <c r="I148" s="26">
        <f>H148/F148</f>
        <v>409.7823240589198</v>
      </c>
    </row>
    <row r="149" spans="1:9" s="8" customFormat="1" ht="12.75" customHeight="1">
      <c r="A149" s="8" t="s">
        <v>27</v>
      </c>
      <c r="B149" s="22">
        <v>2004</v>
      </c>
      <c r="C149" s="9" t="s">
        <v>670</v>
      </c>
      <c r="D149" s="10" t="s">
        <v>658</v>
      </c>
      <c r="E149" s="10"/>
      <c r="F149" s="67">
        <v>0.106</v>
      </c>
      <c r="G149" s="86" t="s">
        <v>10</v>
      </c>
      <c r="H149" s="128">
        <v>30.13</v>
      </c>
      <c r="I149" s="26">
        <f>H149/F149</f>
        <v>284.24528301886795</v>
      </c>
    </row>
    <row r="150" spans="2:9" s="8" customFormat="1" ht="12.75" customHeight="1">
      <c r="B150" s="22"/>
      <c r="C150" s="151"/>
      <c r="D150" s="230"/>
      <c r="E150" s="10"/>
      <c r="F150" s="84"/>
      <c r="G150" s="79"/>
      <c r="H150" s="140"/>
      <c r="I150" s="67"/>
    </row>
    <row r="151" spans="1:9" s="8" customFormat="1" ht="12.75" customHeight="1">
      <c r="A151" s="8" t="s">
        <v>598</v>
      </c>
      <c r="B151" s="22">
        <v>2004</v>
      </c>
      <c r="C151" s="9" t="s">
        <v>5</v>
      </c>
      <c r="D151" s="10" t="s">
        <v>606</v>
      </c>
      <c r="E151" s="16"/>
      <c r="F151" s="112">
        <v>58.41961</v>
      </c>
      <c r="G151" s="101"/>
      <c r="H151" s="123">
        <v>5984.518</v>
      </c>
      <c r="I151" s="15">
        <f>$H151/$F151</f>
        <v>102.4402251230366</v>
      </c>
    </row>
    <row r="152" spans="1:9" s="8" customFormat="1" ht="12.75" customHeight="1">
      <c r="A152" s="8" t="s">
        <v>598</v>
      </c>
      <c r="B152" s="22">
        <v>2004</v>
      </c>
      <c r="C152" s="9" t="s">
        <v>604</v>
      </c>
      <c r="D152" s="10" t="s">
        <v>609</v>
      </c>
      <c r="E152" s="16"/>
      <c r="F152" s="112">
        <v>2.22618196</v>
      </c>
      <c r="G152" s="101"/>
      <c r="H152" s="123">
        <v>228.117</v>
      </c>
      <c r="I152" s="15">
        <f>$H152/$F152</f>
        <v>102.47006044375635</v>
      </c>
    </row>
    <row r="153" spans="1:9" s="8" customFormat="1" ht="12.75" customHeight="1">
      <c r="A153" s="8" t="s">
        <v>598</v>
      </c>
      <c r="B153" s="22">
        <v>2004</v>
      </c>
      <c r="C153" s="9" t="s">
        <v>610</v>
      </c>
      <c r="D153" s="10" t="s">
        <v>607</v>
      </c>
      <c r="E153" s="16"/>
      <c r="F153" s="112">
        <v>1.528692</v>
      </c>
      <c r="G153" s="101"/>
      <c r="H153" s="123">
        <v>153.98875</v>
      </c>
      <c r="I153" s="15">
        <f>$H153/$F153</f>
        <v>100.73235812053704</v>
      </c>
    </row>
    <row r="154" spans="1:9" s="8" customFormat="1" ht="12.75" customHeight="1">
      <c r="A154" s="8" t="s">
        <v>598</v>
      </c>
      <c r="B154" s="22">
        <v>2004</v>
      </c>
      <c r="C154" s="9" t="s">
        <v>724</v>
      </c>
      <c r="D154" s="10" t="s">
        <v>608</v>
      </c>
      <c r="E154" s="16"/>
      <c r="F154" s="112">
        <v>1.1826243</v>
      </c>
      <c r="G154" s="101"/>
      <c r="H154" s="123">
        <f>14.344414*10</f>
        <v>143.44414</v>
      </c>
      <c r="I154" s="15">
        <f>$H154/$F154</f>
        <v>121.2930767615717</v>
      </c>
    </row>
    <row r="155" spans="1:9" s="8" customFormat="1" ht="12.75" customHeight="1">
      <c r="A155" s="8" t="s">
        <v>598</v>
      </c>
      <c r="B155" s="22">
        <v>2004</v>
      </c>
      <c r="C155" s="9" t="s">
        <v>605</v>
      </c>
      <c r="D155" s="10" t="s">
        <v>317</v>
      </c>
      <c r="E155" s="16"/>
      <c r="F155" s="112">
        <v>0.94684722</v>
      </c>
      <c r="G155" s="101"/>
      <c r="H155" s="123">
        <v>97.169332</v>
      </c>
      <c r="I155" s="15">
        <f>$H155/$F155</f>
        <v>102.62408754814741</v>
      </c>
    </row>
    <row r="156" spans="2:9" s="8" customFormat="1" ht="12.75" customHeight="1">
      <c r="B156" s="22"/>
      <c r="C156" s="151"/>
      <c r="D156" s="230"/>
      <c r="E156" s="10"/>
      <c r="F156" s="84"/>
      <c r="G156" s="79"/>
      <c r="H156" s="140"/>
      <c r="I156" s="67"/>
    </row>
    <row r="157" spans="1:9" s="8" customFormat="1" ht="12.75" customHeight="1">
      <c r="A157" s="8" t="s">
        <v>303</v>
      </c>
      <c r="B157" s="22" t="s">
        <v>682</v>
      </c>
      <c r="C157" s="151" t="s">
        <v>289</v>
      </c>
      <c r="D157" s="230" t="s">
        <v>403</v>
      </c>
      <c r="E157" s="10"/>
      <c r="F157" s="84">
        <v>26.614</v>
      </c>
      <c r="G157" s="79"/>
      <c r="H157" s="140">
        <v>2887.634</v>
      </c>
      <c r="I157" s="67">
        <f aca="true" t="shared" si="8" ref="I157:I163">$H157/$F157</f>
        <v>108.50056361313594</v>
      </c>
    </row>
    <row r="158" spans="1:9" s="8" customFormat="1" ht="12.75" customHeight="1">
      <c r="A158" s="8" t="s">
        <v>303</v>
      </c>
      <c r="B158" s="22" t="s">
        <v>682</v>
      </c>
      <c r="C158" s="151" t="s">
        <v>304</v>
      </c>
      <c r="D158" s="230" t="s">
        <v>386</v>
      </c>
      <c r="E158" s="10"/>
      <c r="F158" s="84">
        <v>12.285</v>
      </c>
      <c r="G158" s="79"/>
      <c r="H158" s="140">
        <v>956.585</v>
      </c>
      <c r="I158" s="67">
        <f t="shared" si="8"/>
        <v>77.86609686609687</v>
      </c>
    </row>
    <row r="159" spans="1:9" s="8" customFormat="1" ht="12.75" customHeight="1">
      <c r="A159" s="8" t="s">
        <v>303</v>
      </c>
      <c r="B159" s="22" t="s">
        <v>682</v>
      </c>
      <c r="C159" s="305" t="s">
        <v>22</v>
      </c>
      <c r="D159" s="230" t="s">
        <v>364</v>
      </c>
      <c r="E159" s="10"/>
      <c r="F159" s="84">
        <v>11.323</v>
      </c>
      <c r="G159" s="79"/>
      <c r="H159" s="140">
        <v>870.659</v>
      </c>
      <c r="I159" s="67">
        <f t="shared" si="8"/>
        <v>76.89296122935617</v>
      </c>
    </row>
    <row r="160" spans="1:9" s="8" customFormat="1" ht="12.75" customHeight="1">
      <c r="A160" s="8" t="s">
        <v>303</v>
      </c>
      <c r="B160" s="22" t="s">
        <v>682</v>
      </c>
      <c r="C160" s="151" t="s">
        <v>742</v>
      </c>
      <c r="D160" s="230" t="s">
        <v>406</v>
      </c>
      <c r="E160" s="10"/>
      <c r="F160" s="84">
        <v>6.063</v>
      </c>
      <c r="G160" s="79"/>
      <c r="H160" s="140">
        <v>168.437</v>
      </c>
      <c r="I160" s="67">
        <f t="shared" si="8"/>
        <v>27.78113145307604</v>
      </c>
    </row>
    <row r="161" spans="1:9" s="8" customFormat="1" ht="12.75" customHeight="1">
      <c r="A161" s="8" t="s">
        <v>303</v>
      </c>
      <c r="B161" s="22" t="s">
        <v>682</v>
      </c>
      <c r="C161" s="151" t="s">
        <v>736</v>
      </c>
      <c r="D161" s="230" t="s">
        <v>407</v>
      </c>
      <c r="E161" s="10"/>
      <c r="F161" s="84">
        <v>3.294</v>
      </c>
      <c r="G161" s="79"/>
      <c r="H161" s="140">
        <v>208.72</v>
      </c>
      <c r="I161" s="67">
        <f t="shared" si="8"/>
        <v>63.36369156041287</v>
      </c>
    </row>
    <row r="162" spans="1:9" s="8" customFormat="1" ht="12.75" customHeight="1">
      <c r="A162" s="8" t="s">
        <v>303</v>
      </c>
      <c r="B162" s="22" t="s">
        <v>682</v>
      </c>
      <c r="C162" s="151" t="s">
        <v>72</v>
      </c>
      <c r="D162" s="230" t="s">
        <v>404</v>
      </c>
      <c r="E162" s="10"/>
      <c r="F162" s="84">
        <v>1.578</v>
      </c>
      <c r="G162" s="79"/>
      <c r="H162" s="140">
        <v>117.547</v>
      </c>
      <c r="I162" s="67">
        <f t="shared" si="8"/>
        <v>74.4911280101394</v>
      </c>
    </row>
    <row r="163" spans="1:9" s="8" customFormat="1" ht="12.75" customHeight="1">
      <c r="A163" s="8" t="s">
        <v>303</v>
      </c>
      <c r="B163" s="22" t="s">
        <v>682</v>
      </c>
      <c r="C163" s="151" t="s">
        <v>291</v>
      </c>
      <c r="D163" s="230" t="s">
        <v>405</v>
      </c>
      <c r="E163" s="10"/>
      <c r="F163" s="84">
        <v>1.436</v>
      </c>
      <c r="G163" s="79"/>
      <c r="H163" s="140">
        <v>74.529</v>
      </c>
      <c r="I163" s="67">
        <f t="shared" si="8"/>
        <v>51.90041782729805</v>
      </c>
    </row>
    <row r="164" spans="2:9" s="8" customFormat="1" ht="12.75" customHeight="1">
      <c r="B164" s="22"/>
      <c r="C164" s="151"/>
      <c r="D164" s="58"/>
      <c r="F164" s="67"/>
      <c r="G164" s="79"/>
      <c r="H164" s="140"/>
      <c r="I164" s="67"/>
    </row>
    <row r="165" spans="2:9" s="8" customFormat="1" ht="3" customHeight="1">
      <c r="B165" s="22"/>
      <c r="C165" s="151"/>
      <c r="D165" s="58"/>
      <c r="F165" s="67"/>
      <c r="G165" s="79"/>
      <c r="H165" s="140"/>
      <c r="I165" s="67"/>
    </row>
    <row r="166" spans="1:9" s="8" customFormat="1" ht="12.75" customHeight="1">
      <c r="A166" s="8" t="s">
        <v>303</v>
      </c>
      <c r="B166" s="22">
        <v>2004</v>
      </c>
      <c r="C166" s="151" t="s">
        <v>304</v>
      </c>
      <c r="D166" s="230" t="s">
        <v>386</v>
      </c>
      <c r="E166" s="10"/>
      <c r="F166" s="84">
        <v>21.113</v>
      </c>
      <c r="G166" s="79"/>
      <c r="H166" s="140">
        <v>1938.074</v>
      </c>
      <c r="I166" s="67">
        <f aca="true" t="shared" si="9" ref="I166:I174">$H166/$F166</f>
        <v>91.79529200018946</v>
      </c>
    </row>
    <row r="167" spans="1:9" s="8" customFormat="1" ht="12.75" customHeight="1">
      <c r="A167" s="8" t="s">
        <v>303</v>
      </c>
      <c r="B167" s="22">
        <v>2004</v>
      </c>
      <c r="C167" s="151" t="s">
        <v>289</v>
      </c>
      <c r="D167" s="230" t="s">
        <v>403</v>
      </c>
      <c r="E167" s="10"/>
      <c r="F167" s="84">
        <v>15.125</v>
      </c>
      <c r="G167" s="79"/>
      <c r="H167" s="140">
        <v>1731.504</v>
      </c>
      <c r="I167" s="67">
        <f t="shared" si="9"/>
        <v>114.47960330578512</v>
      </c>
    </row>
    <row r="168" spans="1:9" s="8" customFormat="1" ht="12.75" customHeight="1">
      <c r="A168" s="8" t="s">
        <v>303</v>
      </c>
      <c r="B168" s="22">
        <v>2004</v>
      </c>
      <c r="C168" s="305" t="s">
        <v>22</v>
      </c>
      <c r="D168" s="230" t="s">
        <v>364</v>
      </c>
      <c r="E168" s="10"/>
      <c r="F168" s="84">
        <v>10.46</v>
      </c>
      <c r="G168" s="79"/>
      <c r="H168" s="140">
        <v>1020.768</v>
      </c>
      <c r="I168" s="67">
        <f t="shared" si="9"/>
        <v>97.58776290630975</v>
      </c>
    </row>
    <row r="169" spans="1:9" s="8" customFormat="1" ht="12.75" customHeight="1">
      <c r="A169" s="8" t="s">
        <v>303</v>
      </c>
      <c r="B169" s="22">
        <v>2004</v>
      </c>
      <c r="C169" s="151" t="s">
        <v>291</v>
      </c>
      <c r="D169" s="230" t="s">
        <v>405</v>
      </c>
      <c r="E169" s="10"/>
      <c r="F169" s="84">
        <v>1.8</v>
      </c>
      <c r="G169" s="79"/>
      <c r="H169" s="140">
        <v>154.705</v>
      </c>
      <c r="I169" s="67">
        <f t="shared" si="9"/>
        <v>85.94722222222222</v>
      </c>
    </row>
    <row r="170" spans="1:9" s="8" customFormat="1" ht="12.75" customHeight="1">
      <c r="A170" s="8" t="s">
        <v>303</v>
      </c>
      <c r="B170" s="22">
        <v>2004</v>
      </c>
      <c r="C170" s="151" t="s">
        <v>522</v>
      </c>
      <c r="D170" s="230" t="s">
        <v>519</v>
      </c>
      <c r="E170" s="10"/>
      <c r="F170" s="84">
        <v>1.482</v>
      </c>
      <c r="G170" s="79"/>
      <c r="H170" s="140">
        <v>169.42</v>
      </c>
      <c r="I170" s="67">
        <f t="shared" si="9"/>
        <v>114.31848852901484</v>
      </c>
    </row>
    <row r="171" spans="1:9" s="8" customFormat="1" ht="12.75" customHeight="1">
      <c r="A171" s="8" t="s">
        <v>303</v>
      </c>
      <c r="B171" s="22">
        <v>2004</v>
      </c>
      <c r="C171" s="151" t="s">
        <v>742</v>
      </c>
      <c r="D171" s="230" t="s">
        <v>406</v>
      </c>
      <c r="E171" s="10"/>
      <c r="F171" s="84">
        <v>1.323</v>
      </c>
      <c r="G171" s="79"/>
      <c r="H171" s="140">
        <v>109.335</v>
      </c>
      <c r="I171" s="67">
        <f t="shared" si="9"/>
        <v>82.64172335600907</v>
      </c>
    </row>
    <row r="172" spans="1:9" s="8" customFormat="1" ht="12.75" customHeight="1">
      <c r="A172" s="8" t="s">
        <v>303</v>
      </c>
      <c r="B172" s="22">
        <v>2004</v>
      </c>
      <c r="C172" s="151" t="s">
        <v>521</v>
      </c>
      <c r="D172" s="230" t="s">
        <v>520</v>
      </c>
      <c r="E172" s="10"/>
      <c r="F172" s="84">
        <v>1.321</v>
      </c>
      <c r="G172" s="79"/>
      <c r="H172" s="140">
        <v>108.14</v>
      </c>
      <c r="I172" s="67">
        <f t="shared" si="9"/>
        <v>81.86222558667676</v>
      </c>
    </row>
    <row r="173" spans="1:9" s="8" customFormat="1" ht="12.75" customHeight="1">
      <c r="A173" s="8" t="s">
        <v>303</v>
      </c>
      <c r="B173" s="22">
        <v>2004</v>
      </c>
      <c r="C173" s="151" t="s">
        <v>736</v>
      </c>
      <c r="D173" s="230" t="s">
        <v>407</v>
      </c>
      <c r="E173" s="10"/>
      <c r="F173" s="84">
        <v>1.248</v>
      </c>
      <c r="G173" s="79"/>
      <c r="H173" s="140">
        <v>94.926</v>
      </c>
      <c r="I173" s="67">
        <f t="shared" si="9"/>
        <v>76.0625</v>
      </c>
    </row>
    <row r="174" spans="1:9" s="8" customFormat="1" ht="12.75" customHeight="1">
      <c r="A174" s="8" t="s">
        <v>303</v>
      </c>
      <c r="B174" s="22">
        <v>2004</v>
      </c>
      <c r="C174" s="151" t="s">
        <v>72</v>
      </c>
      <c r="D174" s="230" t="s">
        <v>404</v>
      </c>
      <c r="E174" s="10"/>
      <c r="F174" s="84">
        <v>1.186</v>
      </c>
      <c r="G174" s="79"/>
      <c r="H174" s="140">
        <v>98.05</v>
      </c>
      <c r="I174" s="67">
        <f t="shared" si="9"/>
        <v>82.67284991568297</v>
      </c>
    </row>
    <row r="175" spans="2:9" s="8" customFormat="1" ht="12.75" customHeight="1">
      <c r="B175" s="22"/>
      <c r="C175" s="151"/>
      <c r="D175" s="230"/>
      <c r="E175" s="10"/>
      <c r="F175" s="84"/>
      <c r="G175" s="79"/>
      <c r="H175" s="140"/>
      <c r="I175" s="67"/>
    </row>
    <row r="176" spans="1:9" s="24" customFormat="1" ht="12.75" customHeight="1">
      <c r="A176" s="8" t="s">
        <v>294</v>
      </c>
      <c r="B176" s="22">
        <v>2003</v>
      </c>
      <c r="C176" s="64" t="s">
        <v>295</v>
      </c>
      <c r="D176" s="230" t="s">
        <v>363</v>
      </c>
      <c r="E176" s="10"/>
      <c r="F176" s="84">
        <f>0.309*(2/59)</f>
        <v>0.01047457627118644</v>
      </c>
      <c r="G176" s="79" t="s">
        <v>10</v>
      </c>
      <c r="H176" s="140">
        <f>70.222*(445/39141)</f>
        <v>0.7983646304386703</v>
      </c>
      <c r="I176" s="67">
        <f>$H176/$F176</f>
        <v>76.21927701598956</v>
      </c>
    </row>
    <row r="177" spans="1:9" s="24" customFormat="1" ht="12.75" customHeight="1">
      <c r="A177" s="8" t="s">
        <v>294</v>
      </c>
      <c r="B177" s="22">
        <v>2003</v>
      </c>
      <c r="C177" s="271" t="s">
        <v>23</v>
      </c>
      <c r="D177" s="230" t="s">
        <v>383</v>
      </c>
      <c r="E177" s="10"/>
      <c r="F177" s="84">
        <f>0.044*(2/59)</f>
        <v>0.0014915254237288134</v>
      </c>
      <c r="G177" s="79" t="s">
        <v>10</v>
      </c>
      <c r="H177" s="140">
        <f>27.028*(445/39141)</f>
        <v>0.30728545514933187</v>
      </c>
      <c r="I177" s="67">
        <f>$H177/$F177</f>
        <v>206.02093015693845</v>
      </c>
    </row>
    <row r="178" spans="1:9" s="24" customFormat="1" ht="12.75" customHeight="1">
      <c r="A178" s="8" t="s">
        <v>294</v>
      </c>
      <c r="B178" s="22">
        <v>2003</v>
      </c>
      <c r="C178" s="58" t="s">
        <v>298</v>
      </c>
      <c r="D178" s="62" t="s">
        <v>42</v>
      </c>
      <c r="E178" s="8"/>
      <c r="F178" s="67">
        <v>0</v>
      </c>
      <c r="G178" s="79" t="s">
        <v>10</v>
      </c>
      <c r="H178" s="140">
        <f>39043.4*(445/39141)</f>
        <v>443.89037071101916</v>
      </c>
      <c r="I178" s="323" t="s">
        <v>71</v>
      </c>
    </row>
    <row r="179" spans="1:9" s="24" customFormat="1" ht="12.75" customHeight="1">
      <c r="A179" s="8"/>
      <c r="B179" s="22"/>
      <c r="C179" s="151"/>
      <c r="D179" s="230"/>
      <c r="E179" s="10"/>
      <c r="F179" s="84"/>
      <c r="G179" s="79"/>
      <c r="H179" s="140"/>
      <c r="I179" s="67"/>
    </row>
    <row r="180" spans="1:9" s="24" customFormat="1" ht="12.75" customHeight="1">
      <c r="A180" s="8" t="s">
        <v>294</v>
      </c>
      <c r="B180" s="22">
        <v>2004</v>
      </c>
      <c r="C180" s="271" t="s">
        <v>23</v>
      </c>
      <c r="D180" s="230" t="s">
        <v>383</v>
      </c>
      <c r="E180" s="10"/>
      <c r="F180" s="84">
        <v>0</v>
      </c>
      <c r="G180" s="79" t="s">
        <v>10</v>
      </c>
      <c r="H180" s="140">
        <v>134.504</v>
      </c>
      <c r="I180" s="323" t="s">
        <v>71</v>
      </c>
    </row>
    <row r="181" spans="1:9" s="24" customFormat="1" ht="12.75" customHeight="1">
      <c r="A181" s="8" t="s">
        <v>294</v>
      </c>
      <c r="B181" s="22">
        <v>2004</v>
      </c>
      <c r="C181" s="64" t="s">
        <v>295</v>
      </c>
      <c r="D181" s="230" t="s">
        <v>363</v>
      </c>
      <c r="E181" s="10"/>
      <c r="F181" s="84">
        <v>0.218</v>
      </c>
      <c r="G181" s="79" t="s">
        <v>10</v>
      </c>
      <c r="H181" s="140">
        <v>45.068</v>
      </c>
      <c r="I181" s="67">
        <f>$H181/$F181</f>
        <v>206.73394495412842</v>
      </c>
    </row>
    <row r="182" spans="1:9" s="24" customFormat="1" ht="12.75" customHeight="1">
      <c r="A182" s="8" t="s">
        <v>294</v>
      </c>
      <c r="B182" s="22">
        <v>2004</v>
      </c>
      <c r="C182" s="8" t="s">
        <v>298</v>
      </c>
      <c r="D182" s="24" t="s">
        <v>42</v>
      </c>
      <c r="E182" s="8"/>
      <c r="F182" s="67">
        <v>0</v>
      </c>
      <c r="G182" s="79" t="s">
        <v>10</v>
      </c>
      <c r="H182" s="140">
        <v>326.851</v>
      </c>
      <c r="I182" s="323" t="s">
        <v>71</v>
      </c>
    </row>
    <row r="183" spans="1:9" s="24" customFormat="1" ht="12.75" customHeight="1">
      <c r="A183" s="8"/>
      <c r="B183" s="22"/>
      <c r="C183" s="28"/>
      <c r="D183" s="10"/>
      <c r="E183" s="10"/>
      <c r="F183" s="84"/>
      <c r="G183" s="79"/>
      <c r="H183" s="140"/>
      <c r="I183" s="67"/>
    </row>
    <row r="184" spans="1:9" s="24" customFormat="1" ht="12.75" customHeight="1">
      <c r="A184" s="8" t="s">
        <v>182</v>
      </c>
      <c r="B184" s="22">
        <v>2004</v>
      </c>
      <c r="C184" s="25" t="s">
        <v>509</v>
      </c>
      <c r="D184" s="24" t="s">
        <v>42</v>
      </c>
      <c r="E184" s="8"/>
      <c r="F184" s="67">
        <v>0.03164555890410959</v>
      </c>
      <c r="G184" s="79" t="s">
        <v>10</v>
      </c>
      <c r="H184" s="140">
        <v>9.9</v>
      </c>
      <c r="I184" s="67">
        <f>$H184/$F184</f>
        <v>312.8401059370879</v>
      </c>
    </row>
    <row r="185" spans="1:9" s="24" customFormat="1" ht="12.75" customHeight="1">
      <c r="A185" s="8"/>
      <c r="B185" s="22"/>
      <c r="C185" s="28"/>
      <c r="D185" s="10"/>
      <c r="E185" s="10"/>
      <c r="F185" s="84"/>
      <c r="G185" s="79"/>
      <c r="H185" s="140"/>
      <c r="I185" s="67"/>
    </row>
    <row r="186" spans="1:9" s="24" customFormat="1" ht="12.75" customHeight="1">
      <c r="A186" s="24" t="s">
        <v>285</v>
      </c>
      <c r="B186" s="5">
        <v>2003</v>
      </c>
      <c r="C186" s="305" t="s">
        <v>308</v>
      </c>
      <c r="D186" s="275" t="s">
        <v>424</v>
      </c>
      <c r="E186" s="27"/>
      <c r="F186" s="90">
        <v>2.1</v>
      </c>
      <c r="G186" s="88"/>
      <c r="H186" s="128">
        <v>357</v>
      </c>
      <c r="I186" s="26">
        <f>$H186/$F186</f>
        <v>170</v>
      </c>
    </row>
    <row r="187" spans="1:9" s="24" customFormat="1" ht="12.75" customHeight="1">
      <c r="A187" s="24" t="s">
        <v>285</v>
      </c>
      <c r="B187" s="5">
        <v>2003</v>
      </c>
      <c r="C187" s="31" t="s">
        <v>288</v>
      </c>
      <c r="D187" s="27" t="s">
        <v>427</v>
      </c>
      <c r="E187" s="27"/>
      <c r="F187" s="90">
        <v>0.4</v>
      </c>
      <c r="G187" s="88" t="s">
        <v>10</v>
      </c>
      <c r="H187" s="128">
        <v>44</v>
      </c>
      <c r="I187" s="26">
        <f>$H187/$F187</f>
        <v>110</v>
      </c>
    </row>
    <row r="188" spans="1:9" s="24" customFormat="1" ht="12.75" customHeight="1">
      <c r="A188" s="24" t="s">
        <v>285</v>
      </c>
      <c r="B188" s="5">
        <v>2003</v>
      </c>
      <c r="C188" s="305" t="s">
        <v>309</v>
      </c>
      <c r="D188" s="275" t="s">
        <v>426</v>
      </c>
      <c r="E188" s="27"/>
      <c r="F188" s="90">
        <v>0.1</v>
      </c>
      <c r="G188" s="88" t="s">
        <v>10</v>
      </c>
      <c r="H188" s="128">
        <v>44</v>
      </c>
      <c r="I188" s="26">
        <f>$H188/$F188</f>
        <v>440</v>
      </c>
    </row>
    <row r="189" spans="1:9" s="24" customFormat="1" ht="12.75" customHeight="1">
      <c r="A189" s="24" t="s">
        <v>285</v>
      </c>
      <c r="B189" s="5">
        <v>2003</v>
      </c>
      <c r="C189" s="305" t="s">
        <v>743</v>
      </c>
      <c r="D189" s="275" t="s">
        <v>425</v>
      </c>
      <c r="E189" s="27"/>
      <c r="F189" s="90">
        <v>0.06</v>
      </c>
      <c r="G189" s="88" t="s">
        <v>10</v>
      </c>
      <c r="H189" s="128">
        <v>7</v>
      </c>
      <c r="I189" s="26">
        <f>$H189/$F189</f>
        <v>116.66666666666667</v>
      </c>
    </row>
    <row r="190" spans="1:9" s="24" customFormat="1" ht="12.75" customHeight="1">
      <c r="A190" s="24" t="s">
        <v>285</v>
      </c>
      <c r="B190" s="5">
        <v>2003</v>
      </c>
      <c r="C190" s="31"/>
      <c r="D190" s="27" t="s">
        <v>482</v>
      </c>
      <c r="E190" s="27"/>
      <c r="F190" s="90">
        <v>0.57</v>
      </c>
      <c r="G190" s="88"/>
      <c r="H190" s="128">
        <v>76</v>
      </c>
      <c r="I190" s="26">
        <f>$H190/$F190</f>
        <v>133.33333333333334</v>
      </c>
    </row>
    <row r="191" spans="2:9" s="24" customFormat="1" ht="12.75" customHeight="1">
      <c r="B191" s="5"/>
      <c r="F191" s="26"/>
      <c r="G191" s="88"/>
      <c r="H191" s="128"/>
      <c r="I191" s="26"/>
    </row>
    <row r="192" spans="1:9" s="24" customFormat="1" ht="12.75" customHeight="1">
      <c r="A192" s="62" t="s">
        <v>285</v>
      </c>
      <c r="B192" s="298">
        <v>2004</v>
      </c>
      <c r="C192" s="305" t="s">
        <v>308</v>
      </c>
      <c r="D192" s="275" t="s">
        <v>424</v>
      </c>
      <c r="E192" s="27"/>
      <c r="F192" s="90">
        <v>2.9</v>
      </c>
      <c r="G192" s="88"/>
      <c r="H192" s="128">
        <v>428</v>
      </c>
      <c r="I192" s="26">
        <f aca="true" t="shared" si="10" ref="I192:I200">$H192/$F192</f>
        <v>147.58620689655172</v>
      </c>
    </row>
    <row r="193" spans="1:9" s="24" customFormat="1" ht="12.75" customHeight="1">
      <c r="A193" s="62" t="s">
        <v>285</v>
      </c>
      <c r="B193" s="298">
        <v>2004</v>
      </c>
      <c r="C193" s="305" t="s">
        <v>498</v>
      </c>
      <c r="D193" s="275" t="s">
        <v>459</v>
      </c>
      <c r="E193" s="27"/>
      <c r="F193" s="90">
        <v>0.48</v>
      </c>
      <c r="G193" s="88" t="s">
        <v>10</v>
      </c>
      <c r="H193" s="128">
        <v>58</v>
      </c>
      <c r="I193" s="26">
        <f t="shared" si="10"/>
        <v>120.83333333333334</v>
      </c>
    </row>
    <row r="194" spans="1:9" s="24" customFormat="1" ht="12.75" customHeight="1">
      <c r="A194" s="62" t="s">
        <v>285</v>
      </c>
      <c r="B194" s="298">
        <v>2004</v>
      </c>
      <c r="C194" s="305" t="s">
        <v>287</v>
      </c>
      <c r="D194" s="275" t="s">
        <v>462</v>
      </c>
      <c r="E194" s="27"/>
      <c r="F194" s="90">
        <v>0.34</v>
      </c>
      <c r="G194" s="88" t="s">
        <v>10</v>
      </c>
      <c r="H194" s="128">
        <v>38</v>
      </c>
      <c r="I194" s="26">
        <f t="shared" si="10"/>
        <v>111.76470588235293</v>
      </c>
    </row>
    <row r="195" spans="1:9" s="24" customFormat="1" ht="12.75" customHeight="1">
      <c r="A195" s="62" t="s">
        <v>285</v>
      </c>
      <c r="B195" s="298">
        <v>2004</v>
      </c>
      <c r="C195" s="305" t="s">
        <v>288</v>
      </c>
      <c r="D195" s="275" t="s">
        <v>427</v>
      </c>
      <c r="E195" s="27"/>
      <c r="F195" s="90">
        <v>0.32</v>
      </c>
      <c r="G195" s="88" t="s">
        <v>10</v>
      </c>
      <c r="H195" s="128">
        <v>36</v>
      </c>
      <c r="I195" s="26">
        <f t="shared" si="10"/>
        <v>112.5</v>
      </c>
    </row>
    <row r="196" spans="1:9" s="24" customFormat="1" ht="12.75" customHeight="1">
      <c r="A196" s="62" t="s">
        <v>285</v>
      </c>
      <c r="B196" s="298">
        <v>2004</v>
      </c>
      <c r="C196" s="305" t="s">
        <v>309</v>
      </c>
      <c r="D196" s="275" t="s">
        <v>426</v>
      </c>
      <c r="E196" s="27"/>
      <c r="F196" s="90">
        <v>0.23</v>
      </c>
      <c r="G196" s="88" t="s">
        <v>10</v>
      </c>
      <c r="H196" s="128">
        <v>30</v>
      </c>
      <c r="I196" s="26">
        <f t="shared" si="10"/>
        <v>130.43478260869566</v>
      </c>
    </row>
    <row r="197" spans="1:9" s="24" customFormat="1" ht="12.75" customHeight="1">
      <c r="A197" s="62" t="s">
        <v>285</v>
      </c>
      <c r="B197" s="298">
        <v>2004</v>
      </c>
      <c r="C197" s="305" t="s">
        <v>743</v>
      </c>
      <c r="D197" s="275" t="s">
        <v>425</v>
      </c>
      <c r="E197" s="27"/>
      <c r="F197" s="90">
        <v>0.18</v>
      </c>
      <c r="G197" s="88" t="s">
        <v>10</v>
      </c>
      <c r="H197" s="128">
        <v>14</v>
      </c>
      <c r="I197" s="26">
        <f t="shared" si="10"/>
        <v>77.77777777777779</v>
      </c>
    </row>
    <row r="198" spans="1:9" s="24" customFormat="1" ht="12.75" customHeight="1">
      <c r="A198" s="62" t="s">
        <v>285</v>
      </c>
      <c r="B198" s="298">
        <v>2004</v>
      </c>
      <c r="C198" s="305" t="s">
        <v>596</v>
      </c>
      <c r="D198" s="275" t="s">
        <v>597</v>
      </c>
      <c r="E198" s="27"/>
      <c r="F198" s="90">
        <v>0.18</v>
      </c>
      <c r="G198" s="88" t="s">
        <v>10</v>
      </c>
      <c r="H198" s="128">
        <v>22</v>
      </c>
      <c r="I198" s="26">
        <f t="shared" si="10"/>
        <v>122.22222222222223</v>
      </c>
    </row>
    <row r="199" spans="1:9" s="24" customFormat="1" ht="12.75" customHeight="1">
      <c r="A199" s="62" t="s">
        <v>285</v>
      </c>
      <c r="B199" s="298">
        <v>2004</v>
      </c>
      <c r="C199" s="305" t="s">
        <v>499</v>
      </c>
      <c r="D199" s="275" t="s">
        <v>500</v>
      </c>
      <c r="E199" s="27"/>
      <c r="F199" s="90">
        <v>0.16</v>
      </c>
      <c r="G199" s="88" t="s">
        <v>10</v>
      </c>
      <c r="H199" s="128">
        <v>17</v>
      </c>
      <c r="I199" s="26">
        <f t="shared" si="10"/>
        <v>106.25</v>
      </c>
    </row>
    <row r="200" spans="1:9" s="24" customFormat="1" ht="12.75" customHeight="1">
      <c r="A200" s="24" t="s">
        <v>285</v>
      </c>
      <c r="B200" s="298">
        <v>2004</v>
      </c>
      <c r="D200" s="24" t="s">
        <v>482</v>
      </c>
      <c r="F200" s="26">
        <v>1.4</v>
      </c>
      <c r="G200" s="88"/>
      <c r="H200" s="128">
        <v>168</v>
      </c>
      <c r="I200" s="26">
        <f t="shared" si="10"/>
        <v>120.00000000000001</v>
      </c>
    </row>
    <row r="201" spans="2:9" s="24" customFormat="1" ht="12.75" customHeight="1">
      <c r="B201" s="5"/>
      <c r="F201" s="26"/>
      <c r="G201" s="88"/>
      <c r="H201" s="128"/>
      <c r="I201" s="26"/>
    </row>
    <row r="202" spans="1:9" s="24" customFormat="1" ht="12.75" customHeight="1">
      <c r="A202" s="24" t="s">
        <v>67</v>
      </c>
      <c r="B202" s="5">
        <v>2003</v>
      </c>
      <c r="C202" s="31" t="s">
        <v>22</v>
      </c>
      <c r="D202" s="27" t="s">
        <v>364</v>
      </c>
      <c r="E202" s="27"/>
      <c r="F202" s="90">
        <v>0.001</v>
      </c>
      <c r="G202" s="88" t="s">
        <v>10</v>
      </c>
      <c r="H202" s="123">
        <v>1.382</v>
      </c>
      <c r="I202" s="26">
        <f>$H202/$F202</f>
        <v>1381.9999999999998</v>
      </c>
    </row>
    <row r="203" spans="1:9" s="24" customFormat="1" ht="12.75" customHeight="1">
      <c r="A203" s="24" t="s">
        <v>67</v>
      </c>
      <c r="B203" s="5">
        <v>2003</v>
      </c>
      <c r="D203" s="24" t="s">
        <v>482</v>
      </c>
      <c r="F203" s="26">
        <v>0.0585</v>
      </c>
      <c r="G203" s="88" t="s">
        <v>10</v>
      </c>
      <c r="H203" s="123">
        <v>39.165</v>
      </c>
      <c r="I203" s="26">
        <f>$H203/$F203</f>
        <v>669.4871794871794</v>
      </c>
    </row>
    <row r="204" spans="2:9" s="24" customFormat="1" ht="12.75" customHeight="1">
      <c r="B204" s="5"/>
      <c r="F204" s="26"/>
      <c r="G204" s="88"/>
      <c r="H204" s="123"/>
      <c r="I204" s="26"/>
    </row>
    <row r="205" spans="1:9" s="24" customFormat="1" ht="12.75" customHeight="1">
      <c r="A205" s="24" t="s">
        <v>67</v>
      </c>
      <c r="B205" s="5">
        <v>2004</v>
      </c>
      <c r="D205" s="24" t="s">
        <v>482</v>
      </c>
      <c r="F205" s="26">
        <v>0.026</v>
      </c>
      <c r="G205" s="88" t="s">
        <v>10</v>
      </c>
      <c r="H205" s="123">
        <v>21.076</v>
      </c>
      <c r="I205" s="26">
        <f>$H205/$F205</f>
        <v>810.6153846153846</v>
      </c>
    </row>
    <row r="206" spans="2:9" s="24" customFormat="1" ht="12.75" customHeight="1">
      <c r="B206" s="5"/>
      <c r="F206" s="26"/>
      <c r="G206" s="88"/>
      <c r="H206" s="128"/>
      <c r="I206" s="26"/>
    </row>
    <row r="207" spans="1:9" s="24" customFormat="1" ht="12.75" customHeight="1">
      <c r="A207" s="8" t="s">
        <v>562</v>
      </c>
      <c r="B207" s="22">
        <v>2003</v>
      </c>
      <c r="C207" s="8" t="s">
        <v>563</v>
      </c>
      <c r="D207" s="8" t="s">
        <v>42</v>
      </c>
      <c r="E207" s="78"/>
      <c r="F207" s="19">
        <v>2</v>
      </c>
      <c r="G207" s="101"/>
      <c r="H207" s="120">
        <v>737.0137748911569</v>
      </c>
      <c r="I207" s="26">
        <f>$H207/$F207</f>
        <v>368.50688744557846</v>
      </c>
    </row>
    <row r="208" spans="1:9" s="24" customFormat="1" ht="12.75" customHeight="1">
      <c r="A208" s="8" t="s">
        <v>562</v>
      </c>
      <c r="B208" s="22">
        <v>2003</v>
      </c>
      <c r="C208" s="8" t="s">
        <v>57</v>
      </c>
      <c r="E208" s="78"/>
      <c r="F208" s="19">
        <v>0.001</v>
      </c>
      <c r="G208" s="101" t="s">
        <v>10</v>
      </c>
      <c r="H208" s="123">
        <v>0.23981157661837127</v>
      </c>
      <c r="I208" s="19">
        <v>1412.09456445549</v>
      </c>
    </row>
    <row r="209" spans="1:9" s="24" customFormat="1" ht="12.75" customHeight="1">
      <c r="A209" s="8"/>
      <c r="B209" s="22"/>
      <c r="C209" s="8"/>
      <c r="D209" s="8"/>
      <c r="E209" s="78"/>
      <c r="F209" s="29"/>
      <c r="G209" s="101"/>
      <c r="H209" s="245"/>
      <c r="I209" s="29"/>
    </row>
    <row r="210" spans="1:9" s="24" customFormat="1" ht="12.75" customHeight="1">
      <c r="A210" s="8" t="s">
        <v>562</v>
      </c>
      <c r="B210" s="22">
        <v>2004</v>
      </c>
      <c r="C210" s="8" t="s">
        <v>563</v>
      </c>
      <c r="D210" s="8" t="s">
        <v>42</v>
      </c>
      <c r="E210" s="78"/>
      <c r="F210" s="19">
        <v>6</v>
      </c>
      <c r="G210" s="101"/>
      <c r="H210" s="120">
        <v>2218.2236740968488</v>
      </c>
      <c r="I210" s="19">
        <v>369.508190883689</v>
      </c>
    </row>
    <row r="211" spans="2:9" s="24" customFormat="1" ht="12.75" customHeight="1">
      <c r="B211" s="5"/>
      <c r="F211" s="26"/>
      <c r="G211" s="88"/>
      <c r="H211" s="128"/>
      <c r="I211" s="26"/>
    </row>
    <row r="212" spans="2:9" s="24" customFormat="1" ht="3" customHeight="1">
      <c r="B212" s="5"/>
      <c r="F212" s="26"/>
      <c r="G212" s="88"/>
      <c r="H212" s="128"/>
      <c r="I212" s="26"/>
    </row>
    <row r="213" spans="1:9" s="24" customFormat="1" ht="12.75" customHeight="1">
      <c r="A213" s="24" t="s">
        <v>680</v>
      </c>
      <c r="B213" s="5">
        <v>2003</v>
      </c>
      <c r="C213" s="9" t="s">
        <v>277</v>
      </c>
      <c r="D213" s="10" t="s">
        <v>318</v>
      </c>
      <c r="E213" s="27"/>
      <c r="F213" s="90">
        <v>0</v>
      </c>
      <c r="G213" s="88" t="s">
        <v>307</v>
      </c>
      <c r="H213" s="128">
        <v>2758</v>
      </c>
      <c r="I213" s="59" t="s">
        <v>71</v>
      </c>
    </row>
    <row r="214" spans="1:9" s="24" customFormat="1" ht="12.75" customHeight="1">
      <c r="A214" s="24" t="s">
        <v>680</v>
      </c>
      <c r="B214" s="5">
        <v>2003</v>
      </c>
      <c r="C214" s="9" t="s">
        <v>464</v>
      </c>
      <c r="D214" s="10" t="s">
        <v>353</v>
      </c>
      <c r="E214" s="27"/>
      <c r="F214" s="90">
        <v>0</v>
      </c>
      <c r="G214" s="88" t="s">
        <v>307</v>
      </c>
      <c r="H214" s="128">
        <v>1365.455</v>
      </c>
      <c r="I214" s="59" t="s">
        <v>71</v>
      </c>
    </row>
    <row r="215" spans="1:9" s="24" customFormat="1" ht="12.75" customHeight="1">
      <c r="A215" s="24" t="s">
        <v>680</v>
      </c>
      <c r="B215" s="5">
        <v>2003</v>
      </c>
      <c r="C215" s="31" t="s">
        <v>76</v>
      </c>
      <c r="D215" s="27" t="s">
        <v>343</v>
      </c>
      <c r="E215" s="27"/>
      <c r="F215" s="90">
        <v>0</v>
      </c>
      <c r="G215" s="88" t="s">
        <v>307</v>
      </c>
      <c r="H215" s="128">
        <v>152.649</v>
      </c>
      <c r="I215" s="59" t="s">
        <v>71</v>
      </c>
    </row>
    <row r="216" spans="1:9" s="24" customFormat="1" ht="12.75" customHeight="1">
      <c r="A216" s="24" t="s">
        <v>680</v>
      </c>
      <c r="B216" s="5">
        <v>2003</v>
      </c>
      <c r="C216" s="31" t="s">
        <v>4</v>
      </c>
      <c r="D216" s="27" t="s">
        <v>330</v>
      </c>
      <c r="E216" s="27"/>
      <c r="F216" s="90">
        <v>0</v>
      </c>
      <c r="G216" s="88" t="s">
        <v>307</v>
      </c>
      <c r="H216" s="128">
        <v>1175</v>
      </c>
      <c r="I216" s="59" t="s">
        <v>71</v>
      </c>
    </row>
    <row r="217" spans="1:9" s="24" customFormat="1" ht="12.75" customHeight="1">
      <c r="A217" s="24" t="s">
        <v>680</v>
      </c>
      <c r="B217" s="5">
        <v>2003</v>
      </c>
      <c r="C217" s="9" t="s">
        <v>474</v>
      </c>
      <c r="D217" s="10" t="s">
        <v>322</v>
      </c>
      <c r="E217" s="27"/>
      <c r="F217" s="90">
        <v>0</v>
      </c>
      <c r="G217" s="88" t="s">
        <v>307</v>
      </c>
      <c r="H217" s="128">
        <v>13.786</v>
      </c>
      <c r="I217" s="59" t="s">
        <v>71</v>
      </c>
    </row>
    <row r="218" spans="1:9" s="24" customFormat="1" ht="12.75" customHeight="1">
      <c r="A218" s="24" t="s">
        <v>680</v>
      </c>
      <c r="B218" s="5">
        <v>2003</v>
      </c>
      <c r="C218" s="9" t="s">
        <v>473</v>
      </c>
      <c r="D218" s="10" t="s">
        <v>346</v>
      </c>
      <c r="E218" s="27"/>
      <c r="F218" s="90">
        <v>0</v>
      </c>
      <c r="G218" s="88" t="s">
        <v>307</v>
      </c>
      <c r="H218" s="128">
        <v>101.518</v>
      </c>
      <c r="I218" s="59" t="s">
        <v>71</v>
      </c>
    </row>
    <row r="219" spans="1:9" s="24" customFormat="1" ht="12.75" customHeight="1">
      <c r="A219" s="24" t="s">
        <v>680</v>
      </c>
      <c r="B219" s="5">
        <v>2003</v>
      </c>
      <c r="C219" s="9" t="s">
        <v>6</v>
      </c>
      <c r="D219" s="10" t="s">
        <v>323</v>
      </c>
      <c r="E219" s="27"/>
      <c r="F219" s="90">
        <v>0</v>
      </c>
      <c r="G219" s="88" t="s">
        <v>307</v>
      </c>
      <c r="H219" s="128">
        <v>2.983</v>
      </c>
      <c r="I219" s="59" t="s">
        <v>71</v>
      </c>
    </row>
    <row r="220" spans="1:9" s="24" customFormat="1" ht="12.75" customHeight="1">
      <c r="A220" s="24" t="s">
        <v>680</v>
      </c>
      <c r="B220" s="5">
        <v>2003</v>
      </c>
      <c r="C220" s="9" t="s">
        <v>278</v>
      </c>
      <c r="D220" s="10" t="s">
        <v>316</v>
      </c>
      <c r="E220" s="27"/>
      <c r="F220" s="90">
        <v>0</v>
      </c>
      <c r="G220" s="88" t="s">
        <v>307</v>
      </c>
      <c r="H220" s="128">
        <v>126.999</v>
      </c>
      <c r="I220" s="59" t="s">
        <v>71</v>
      </c>
    </row>
    <row r="221" spans="1:9" s="24" customFormat="1" ht="12.75" customHeight="1">
      <c r="A221" s="24" t="s">
        <v>680</v>
      </c>
      <c r="B221" s="5">
        <v>2003</v>
      </c>
      <c r="C221" s="9" t="s">
        <v>468</v>
      </c>
      <c r="D221" s="10" t="s">
        <v>317</v>
      </c>
      <c r="E221" s="27"/>
      <c r="F221" s="90">
        <v>0</v>
      </c>
      <c r="G221" s="88" t="s">
        <v>307</v>
      </c>
      <c r="H221" s="128">
        <v>3.744</v>
      </c>
      <c r="I221" s="59" t="s">
        <v>71</v>
      </c>
    </row>
    <row r="222" spans="1:9" s="24" customFormat="1" ht="12.75" customHeight="1">
      <c r="A222" s="24" t="s">
        <v>680</v>
      </c>
      <c r="B222" s="5">
        <v>2003</v>
      </c>
      <c r="C222" s="9" t="s">
        <v>475</v>
      </c>
      <c r="D222" s="10" t="s">
        <v>320</v>
      </c>
      <c r="E222" s="27"/>
      <c r="F222" s="90">
        <v>0</v>
      </c>
      <c r="G222" s="88" t="s">
        <v>307</v>
      </c>
      <c r="H222" s="128">
        <v>79.881</v>
      </c>
      <c r="I222" s="59" t="s">
        <v>71</v>
      </c>
    </row>
    <row r="223" spans="1:9" s="24" customFormat="1" ht="12.75" customHeight="1">
      <c r="A223" s="24" t="s">
        <v>680</v>
      </c>
      <c r="B223" s="5">
        <v>2003</v>
      </c>
      <c r="C223" s="9" t="s">
        <v>9</v>
      </c>
      <c r="D223" s="10" t="s">
        <v>332</v>
      </c>
      <c r="E223" s="27"/>
      <c r="F223" s="90">
        <v>0</v>
      </c>
      <c r="G223" s="88" t="s">
        <v>307</v>
      </c>
      <c r="H223" s="128">
        <v>0.032</v>
      </c>
      <c r="I223" s="59" t="s">
        <v>71</v>
      </c>
    </row>
    <row r="224" spans="1:9" s="24" customFormat="1" ht="12.75" customHeight="1">
      <c r="A224" s="24" t="s">
        <v>680</v>
      </c>
      <c r="B224" s="5">
        <v>2003</v>
      </c>
      <c r="C224" s="9" t="s">
        <v>470</v>
      </c>
      <c r="D224" s="10" t="s">
        <v>341</v>
      </c>
      <c r="E224" s="27"/>
      <c r="F224" s="90">
        <v>0</v>
      </c>
      <c r="G224" s="88" t="s">
        <v>307</v>
      </c>
      <c r="H224" s="128">
        <v>0.15</v>
      </c>
      <c r="I224" s="59" t="s">
        <v>71</v>
      </c>
    </row>
    <row r="225" spans="1:9" s="24" customFormat="1" ht="12.75" customHeight="1">
      <c r="A225" s="24" t="s">
        <v>680</v>
      </c>
      <c r="B225" s="5">
        <v>2003</v>
      </c>
      <c r="C225" s="9" t="s">
        <v>471</v>
      </c>
      <c r="D225" s="10" t="s">
        <v>342</v>
      </c>
      <c r="E225" s="27"/>
      <c r="F225" s="90">
        <v>0</v>
      </c>
      <c r="G225" s="88" t="s">
        <v>307</v>
      </c>
      <c r="H225" s="128">
        <v>346.225</v>
      </c>
      <c r="I225" s="59" t="s">
        <v>71</v>
      </c>
    </row>
    <row r="226" spans="1:9" s="24" customFormat="1" ht="12.75" customHeight="1">
      <c r="A226" s="24" t="s">
        <v>680</v>
      </c>
      <c r="B226" s="5">
        <v>2003</v>
      </c>
      <c r="C226" s="9" t="s">
        <v>279</v>
      </c>
      <c r="D226" s="10" t="s">
        <v>336</v>
      </c>
      <c r="E226" s="27"/>
      <c r="F226" s="90">
        <v>0</v>
      </c>
      <c r="G226" s="88" t="s">
        <v>307</v>
      </c>
      <c r="H226" s="128">
        <v>0.18</v>
      </c>
      <c r="I226" s="59" t="s">
        <v>71</v>
      </c>
    </row>
    <row r="227" spans="1:9" s="24" customFormat="1" ht="12.75" customHeight="1">
      <c r="A227" s="24" t="s">
        <v>680</v>
      </c>
      <c r="B227" s="5">
        <v>2003</v>
      </c>
      <c r="C227" s="9" t="s">
        <v>466</v>
      </c>
      <c r="D227" s="10" t="s">
        <v>326</v>
      </c>
      <c r="E227" s="27"/>
      <c r="F227" s="90">
        <v>0</v>
      </c>
      <c r="G227" s="88" t="s">
        <v>307</v>
      </c>
      <c r="H227" s="128">
        <v>3.767</v>
      </c>
      <c r="I227" s="59" t="s">
        <v>71</v>
      </c>
    </row>
    <row r="228" spans="1:9" s="24" customFormat="1" ht="12.75" customHeight="1">
      <c r="A228" s="24" t="s">
        <v>680</v>
      </c>
      <c r="B228" s="5">
        <v>2003</v>
      </c>
      <c r="C228" s="9" t="s">
        <v>65</v>
      </c>
      <c r="D228" s="10" t="s">
        <v>349</v>
      </c>
      <c r="E228" s="27"/>
      <c r="F228" s="90">
        <v>0</v>
      </c>
      <c r="G228" s="88" t="s">
        <v>307</v>
      </c>
      <c r="H228" s="128">
        <v>1.95</v>
      </c>
      <c r="I228" s="59" t="s">
        <v>71</v>
      </c>
    </row>
    <row r="229" spans="1:9" s="24" customFormat="1" ht="12.75" customHeight="1">
      <c r="A229" s="24" t="s">
        <v>680</v>
      </c>
      <c r="B229" s="5">
        <v>2003</v>
      </c>
      <c r="C229" s="9" t="s">
        <v>193</v>
      </c>
      <c r="D229" s="10" t="s">
        <v>338</v>
      </c>
      <c r="E229" s="27"/>
      <c r="F229" s="90">
        <v>0</v>
      </c>
      <c r="G229" s="88" t="s">
        <v>307</v>
      </c>
      <c r="H229" s="128">
        <v>0.005</v>
      </c>
      <c r="I229" s="59" t="s">
        <v>71</v>
      </c>
    </row>
    <row r="230" spans="1:9" s="24" customFormat="1" ht="12.75" customHeight="1">
      <c r="A230" s="24" t="s">
        <v>680</v>
      </c>
      <c r="B230" s="5">
        <v>2003</v>
      </c>
      <c r="C230" s="28" t="s">
        <v>479</v>
      </c>
      <c r="D230" s="27" t="s">
        <v>374</v>
      </c>
      <c r="E230" s="27"/>
      <c r="F230" s="90">
        <v>0</v>
      </c>
      <c r="G230" s="88" t="s">
        <v>307</v>
      </c>
      <c r="H230" s="128">
        <v>10.231</v>
      </c>
      <c r="I230" s="59" t="s">
        <v>71</v>
      </c>
    </row>
    <row r="231" spans="1:9" s="24" customFormat="1" ht="12.75" customHeight="1">
      <c r="A231" s="24" t="s">
        <v>680</v>
      </c>
      <c r="B231" s="5">
        <v>2003</v>
      </c>
      <c r="C231" s="9" t="s">
        <v>177</v>
      </c>
      <c r="D231" s="10" t="s">
        <v>333</v>
      </c>
      <c r="E231" s="27"/>
      <c r="F231" s="90">
        <v>0</v>
      </c>
      <c r="G231" s="88" t="s">
        <v>307</v>
      </c>
      <c r="H231" s="128">
        <v>71.152</v>
      </c>
      <c r="I231" s="59" t="s">
        <v>71</v>
      </c>
    </row>
    <row r="232" spans="1:9" s="24" customFormat="1" ht="12.75" customHeight="1">
      <c r="A232" s="24" t="s">
        <v>680</v>
      </c>
      <c r="B232" s="5">
        <v>2003</v>
      </c>
      <c r="C232" s="9" t="s">
        <v>465</v>
      </c>
      <c r="D232" s="10" t="s">
        <v>334</v>
      </c>
      <c r="E232" s="27"/>
      <c r="F232" s="90">
        <v>0</v>
      </c>
      <c r="G232" s="88" t="s">
        <v>307</v>
      </c>
      <c r="H232" s="128">
        <v>73.244</v>
      </c>
      <c r="I232" s="59" t="s">
        <v>71</v>
      </c>
    </row>
    <row r="233" spans="1:9" ht="12.75" customHeight="1">
      <c r="A233" s="24" t="s">
        <v>680</v>
      </c>
      <c r="B233" s="5">
        <v>2003</v>
      </c>
      <c r="C233" s="9" t="s">
        <v>11</v>
      </c>
      <c r="D233" s="10" t="s">
        <v>344</v>
      </c>
      <c r="E233" s="27"/>
      <c r="F233" s="90">
        <v>0</v>
      </c>
      <c r="G233" s="88" t="s">
        <v>307</v>
      </c>
      <c r="H233" s="128">
        <v>0.479</v>
      </c>
      <c r="I233" s="59" t="s">
        <v>71</v>
      </c>
    </row>
    <row r="234" spans="1:9" ht="12.75" customHeight="1">
      <c r="A234" s="24" t="s">
        <v>680</v>
      </c>
      <c r="B234" s="5">
        <v>2003</v>
      </c>
      <c r="C234" s="9" t="s">
        <v>15</v>
      </c>
      <c r="D234" s="10" t="s">
        <v>312</v>
      </c>
      <c r="E234" s="27"/>
      <c r="F234" s="90">
        <v>0</v>
      </c>
      <c r="G234" s="88" t="s">
        <v>307</v>
      </c>
      <c r="H234" s="128">
        <v>0.319</v>
      </c>
      <c r="I234" s="59" t="s">
        <v>71</v>
      </c>
    </row>
    <row r="235" spans="1:9" ht="12.75" customHeight="1">
      <c r="A235" s="24" t="s">
        <v>680</v>
      </c>
      <c r="B235" s="5">
        <v>2003</v>
      </c>
      <c r="C235" s="9" t="s">
        <v>467</v>
      </c>
      <c r="D235" s="10" t="s">
        <v>313</v>
      </c>
      <c r="E235" s="27"/>
      <c r="F235" s="90">
        <v>0</v>
      </c>
      <c r="G235" s="88" t="s">
        <v>307</v>
      </c>
      <c r="H235" s="128">
        <v>188.248</v>
      </c>
      <c r="I235" s="59" t="s">
        <v>71</v>
      </c>
    </row>
    <row r="236" spans="1:9" ht="12.75" customHeight="1">
      <c r="A236" s="24" t="s">
        <v>680</v>
      </c>
      <c r="B236" s="5">
        <v>2003</v>
      </c>
      <c r="C236" s="9" t="s">
        <v>467</v>
      </c>
      <c r="D236" s="10" t="s">
        <v>345</v>
      </c>
      <c r="E236" s="27"/>
      <c r="F236" s="90">
        <v>0</v>
      </c>
      <c r="G236" s="88" t="s">
        <v>307</v>
      </c>
      <c r="H236" s="128">
        <v>29.649</v>
      </c>
      <c r="I236" s="59" t="s">
        <v>71</v>
      </c>
    </row>
    <row r="237" spans="1:9" ht="12.75" customHeight="1">
      <c r="A237" s="24" t="s">
        <v>680</v>
      </c>
      <c r="B237" s="5">
        <v>2003</v>
      </c>
      <c r="C237" s="9" t="s">
        <v>467</v>
      </c>
      <c r="D237" s="10" t="s">
        <v>319</v>
      </c>
      <c r="E237" s="27"/>
      <c r="F237" s="90">
        <v>0</v>
      </c>
      <c r="G237" s="88" t="s">
        <v>307</v>
      </c>
      <c r="H237" s="128">
        <v>2.689</v>
      </c>
      <c r="I237" s="59" t="s">
        <v>71</v>
      </c>
    </row>
    <row r="238" spans="1:9" ht="12.75" customHeight="1">
      <c r="A238" s="24" t="s">
        <v>680</v>
      </c>
      <c r="B238" s="5">
        <v>2003</v>
      </c>
      <c r="C238" s="9" t="s">
        <v>478</v>
      </c>
      <c r="D238" s="10" t="s">
        <v>327</v>
      </c>
      <c r="E238" s="27"/>
      <c r="F238" s="90">
        <v>0</v>
      </c>
      <c r="G238" s="88" t="s">
        <v>307</v>
      </c>
      <c r="H238" s="128">
        <v>2.765</v>
      </c>
      <c r="I238" s="59" t="s">
        <v>71</v>
      </c>
    </row>
    <row r="239" spans="1:9" ht="12.75" customHeight="1">
      <c r="A239" s="24" t="s">
        <v>680</v>
      </c>
      <c r="B239" s="5">
        <v>2003</v>
      </c>
      <c r="C239" s="9" t="s">
        <v>7</v>
      </c>
      <c r="D239" s="10" t="s">
        <v>376</v>
      </c>
      <c r="E239" s="27"/>
      <c r="F239" s="90">
        <v>0</v>
      </c>
      <c r="G239" s="88" t="s">
        <v>307</v>
      </c>
      <c r="H239" s="128">
        <v>379.96</v>
      </c>
      <c r="I239" s="59" t="s">
        <v>71</v>
      </c>
    </row>
    <row r="240" spans="1:9" ht="12.75" customHeight="1">
      <c r="A240" s="24"/>
      <c r="C240" s="24"/>
      <c r="D240" s="24"/>
      <c r="E240" s="24"/>
      <c r="F240" s="26"/>
      <c r="G240" s="88"/>
      <c r="H240" s="128"/>
      <c r="I240" s="26"/>
    </row>
    <row r="241" spans="1:9" s="24" customFormat="1" ht="15" customHeight="1">
      <c r="A241" s="41" t="s">
        <v>30</v>
      </c>
      <c r="B241" s="33"/>
      <c r="C241" s="4"/>
      <c r="D241" s="1"/>
      <c r="E241" s="2"/>
      <c r="F241" s="14"/>
      <c r="G241" s="86"/>
      <c r="H241" s="138"/>
      <c r="I241" s="14"/>
    </row>
    <row r="242" spans="1:9" ht="12.75" customHeight="1">
      <c r="A242" s="50" t="s">
        <v>88</v>
      </c>
      <c r="B242" s="5">
        <v>2003</v>
      </c>
      <c r="C242" s="9" t="s">
        <v>9</v>
      </c>
      <c r="D242" s="10" t="s">
        <v>332</v>
      </c>
      <c r="F242" s="35">
        <v>0.027</v>
      </c>
      <c r="G242" s="86" t="s">
        <v>10</v>
      </c>
      <c r="H242" s="138">
        <f>0.207*1000/6.588</f>
        <v>31.420765027322403</v>
      </c>
      <c r="I242" s="14">
        <f>$H242/$F242</f>
        <v>1163.732038048978</v>
      </c>
    </row>
    <row r="243" spans="1:9" ht="12.75" customHeight="1">
      <c r="A243" s="50" t="s">
        <v>88</v>
      </c>
      <c r="B243" s="5">
        <v>2003</v>
      </c>
      <c r="C243" s="55" t="s">
        <v>64</v>
      </c>
      <c r="D243" s="10" t="s">
        <v>315</v>
      </c>
      <c r="E243" s="246"/>
      <c r="F243" s="345">
        <v>0.027</v>
      </c>
      <c r="G243" s="332" t="s">
        <v>10</v>
      </c>
      <c r="H243" s="351">
        <f>0.161*1000/6.588</f>
        <v>24.438372799028535</v>
      </c>
      <c r="I243" s="347">
        <f>$H243/$F243</f>
        <v>905.1249184825383</v>
      </c>
    </row>
    <row r="244" spans="1:9" ht="12.75" customHeight="1">
      <c r="A244" s="50" t="s">
        <v>88</v>
      </c>
      <c r="B244" s="5">
        <v>2003</v>
      </c>
      <c r="C244" s="55" t="s">
        <v>467</v>
      </c>
      <c r="D244" s="10" t="s">
        <v>354</v>
      </c>
      <c r="E244" s="247"/>
      <c r="F244" s="345"/>
      <c r="G244" s="332"/>
      <c r="H244" s="351"/>
      <c r="I244" s="347" t="e">
        <f>$H244/$F244</f>
        <v>#DIV/0!</v>
      </c>
    </row>
    <row r="245" spans="1:9" ht="12.75" customHeight="1">
      <c r="A245" s="50" t="s">
        <v>88</v>
      </c>
      <c r="B245" s="5">
        <v>2003</v>
      </c>
      <c r="C245" s="55" t="s">
        <v>14</v>
      </c>
      <c r="D245" s="10" t="s">
        <v>345</v>
      </c>
      <c r="E245" s="248"/>
      <c r="F245" s="345"/>
      <c r="G245" s="332"/>
      <c r="H245" s="351"/>
      <c r="I245" s="347" t="e">
        <f>$H245/$F245</f>
        <v>#DIV/0!</v>
      </c>
    </row>
    <row r="246" ht="3" customHeight="1">
      <c r="A246" s="50"/>
    </row>
    <row r="247" spans="1:9" ht="12.75" customHeight="1">
      <c r="A247" s="50" t="s">
        <v>88</v>
      </c>
      <c r="B247" s="5">
        <v>2003</v>
      </c>
      <c r="C247" s="55" t="s">
        <v>475</v>
      </c>
      <c r="D247" s="10" t="s">
        <v>320</v>
      </c>
      <c r="E247" s="246"/>
      <c r="F247" s="345">
        <v>0.017</v>
      </c>
      <c r="G247" s="332" t="s">
        <v>10</v>
      </c>
      <c r="H247" s="351">
        <f>0.128*1000/6.588</f>
        <v>19.429265330904673</v>
      </c>
      <c r="I247" s="347">
        <f>$H247/$F247</f>
        <v>1142.8979606414514</v>
      </c>
    </row>
    <row r="248" spans="1:9" s="24" customFormat="1" ht="12.75" customHeight="1">
      <c r="A248" s="50" t="s">
        <v>88</v>
      </c>
      <c r="B248" s="5">
        <v>2003</v>
      </c>
      <c r="C248" s="55" t="s">
        <v>276</v>
      </c>
      <c r="D248" s="10" t="s">
        <v>331</v>
      </c>
      <c r="E248" s="247"/>
      <c r="F248" s="345"/>
      <c r="G248" s="332"/>
      <c r="H248" s="351"/>
      <c r="I248" s="347" t="e">
        <f>$H248/$F248</f>
        <v>#DIV/0!</v>
      </c>
    </row>
    <row r="249" spans="1:9" s="24" customFormat="1" ht="12.75" customHeight="1">
      <c r="A249" s="50" t="s">
        <v>88</v>
      </c>
      <c r="B249" s="5">
        <v>2003</v>
      </c>
      <c r="C249" s="55" t="s">
        <v>466</v>
      </c>
      <c r="D249" s="10" t="s">
        <v>348</v>
      </c>
      <c r="E249" s="248"/>
      <c r="F249" s="345"/>
      <c r="G249" s="332"/>
      <c r="H249" s="351"/>
      <c r="I249" s="347" t="e">
        <f>$H249/$F249</f>
        <v>#DIV/0!</v>
      </c>
    </row>
    <row r="250" spans="1:9" s="24" customFormat="1" ht="3" customHeight="1">
      <c r="A250" s="50"/>
      <c r="B250" s="5"/>
      <c r="C250" s="55"/>
      <c r="D250" s="10"/>
      <c r="E250" s="81"/>
      <c r="F250" s="82"/>
      <c r="G250" s="89"/>
      <c r="H250" s="127"/>
      <c r="I250" s="46"/>
    </row>
    <row r="251" spans="1:9" s="24" customFormat="1" ht="12.75" customHeight="1">
      <c r="A251" s="50" t="s">
        <v>88</v>
      </c>
      <c r="B251" s="5">
        <v>2003</v>
      </c>
      <c r="C251" s="3"/>
      <c r="D251" s="11" t="s">
        <v>482</v>
      </c>
      <c r="E251" s="17"/>
      <c r="F251" s="35">
        <v>4.933</v>
      </c>
      <c r="G251" s="86"/>
      <c r="H251" s="138">
        <f>11.075*1000/6.588</f>
        <v>1681.0868245294475</v>
      </c>
      <c r="I251" s="14">
        <f>$H251/$F251</f>
        <v>340.78386874710066</v>
      </c>
    </row>
    <row r="252" spans="1:9" ht="12.75" customHeight="1">
      <c r="A252" s="24"/>
      <c r="C252" s="24"/>
      <c r="D252" s="24"/>
      <c r="E252" s="24"/>
      <c r="F252" s="26"/>
      <c r="G252" s="88"/>
      <c r="H252" s="128"/>
      <c r="I252" s="26"/>
    </row>
    <row r="253" spans="1:9" s="8" customFormat="1" ht="12.75" customHeight="1">
      <c r="A253" s="48" t="s">
        <v>88</v>
      </c>
      <c r="B253" s="22">
        <v>2004</v>
      </c>
      <c r="C253" s="9" t="s">
        <v>9</v>
      </c>
      <c r="D253" s="10" t="s">
        <v>332</v>
      </c>
      <c r="E253" s="81"/>
      <c r="F253" s="40">
        <v>0.734</v>
      </c>
      <c r="G253" s="101"/>
      <c r="H253" s="123">
        <f>0.517*1000/5.991</f>
        <v>86.29611083291604</v>
      </c>
      <c r="I253" s="15">
        <f aca="true" t="shared" si="11" ref="I253:I260">$H253/$F253</f>
        <v>117.56963328735156</v>
      </c>
    </row>
    <row r="254" spans="1:9" s="8" customFormat="1" ht="3" customHeight="1">
      <c r="A254" s="48"/>
      <c r="B254" s="22"/>
      <c r="C254" s="9"/>
      <c r="D254" s="10"/>
      <c r="E254" s="81"/>
      <c r="F254" s="40"/>
      <c r="G254" s="101"/>
      <c r="H254" s="123"/>
      <c r="I254" s="15"/>
    </row>
    <row r="255" spans="1:9" s="8" customFormat="1" ht="12.75" customHeight="1">
      <c r="A255" s="48" t="s">
        <v>88</v>
      </c>
      <c r="B255" s="22">
        <v>2004</v>
      </c>
      <c r="C255" s="55" t="s">
        <v>718</v>
      </c>
      <c r="D255" s="10" t="s">
        <v>320</v>
      </c>
      <c r="E255" s="246"/>
      <c r="F255" s="356">
        <v>0.026</v>
      </c>
      <c r="G255" s="346" t="s">
        <v>10</v>
      </c>
      <c r="H255" s="348">
        <f>0.199*1000*5.991</f>
        <v>1192.2089999999998</v>
      </c>
      <c r="I255" s="364" t="s">
        <v>71</v>
      </c>
    </row>
    <row r="256" spans="1:9" s="8" customFormat="1" ht="12.75" customHeight="1">
      <c r="A256" s="48" t="s">
        <v>88</v>
      </c>
      <c r="B256" s="22">
        <v>2004</v>
      </c>
      <c r="C256" s="55" t="s">
        <v>276</v>
      </c>
      <c r="D256" s="10" t="s">
        <v>331</v>
      </c>
      <c r="E256" s="247"/>
      <c r="F256" s="356"/>
      <c r="G256" s="346"/>
      <c r="H256" s="348"/>
      <c r="I256" s="365" t="e">
        <f t="shared" si="11"/>
        <v>#DIV/0!</v>
      </c>
    </row>
    <row r="257" spans="1:9" s="8" customFormat="1" ht="12.75" customHeight="1">
      <c r="A257" s="48" t="s">
        <v>88</v>
      </c>
      <c r="B257" s="22">
        <v>2004</v>
      </c>
      <c r="C257" s="55" t="s">
        <v>472</v>
      </c>
      <c r="D257" s="10" t="s">
        <v>348</v>
      </c>
      <c r="E257" s="248"/>
      <c r="F257" s="356"/>
      <c r="G257" s="346"/>
      <c r="H257" s="348"/>
      <c r="I257" s="365" t="e">
        <f t="shared" si="11"/>
        <v>#DIV/0!</v>
      </c>
    </row>
    <row r="258" spans="1:9" s="8" customFormat="1" ht="3" customHeight="1">
      <c r="A258" s="48"/>
      <c r="B258" s="22"/>
      <c r="C258" s="55"/>
      <c r="D258" s="10"/>
      <c r="E258" s="81"/>
      <c r="F258" s="82"/>
      <c r="G258" s="250"/>
      <c r="H258" s="124"/>
      <c r="I258" s="29"/>
    </row>
    <row r="259" spans="1:9" s="8" customFormat="1" ht="12.75" customHeight="1">
      <c r="A259" s="48" t="s">
        <v>88</v>
      </c>
      <c r="B259" s="22">
        <v>2004</v>
      </c>
      <c r="C259" s="9" t="s">
        <v>6</v>
      </c>
      <c r="D259" s="10" t="s">
        <v>323</v>
      </c>
      <c r="E259" s="81"/>
      <c r="F259" s="40">
        <v>0.016</v>
      </c>
      <c r="G259" s="101" t="s">
        <v>10</v>
      </c>
      <c r="H259" s="123">
        <f>0.326*1000/5.991</f>
        <v>54.41495576698381</v>
      </c>
      <c r="I259" s="15">
        <f t="shared" si="11"/>
        <v>3400.934735436488</v>
      </c>
    </row>
    <row r="260" spans="1:9" s="8" customFormat="1" ht="12.75" customHeight="1">
      <c r="A260" s="48" t="s">
        <v>88</v>
      </c>
      <c r="B260" s="22">
        <v>2004</v>
      </c>
      <c r="C260" s="9"/>
      <c r="D260" s="10" t="s">
        <v>482</v>
      </c>
      <c r="E260" s="81"/>
      <c r="F260" s="40">
        <v>1</v>
      </c>
      <c r="G260" s="101"/>
      <c r="H260" s="123">
        <f>10.789*1000/5.991</f>
        <v>1800.8679686195962</v>
      </c>
      <c r="I260" s="15">
        <f t="shared" si="11"/>
        <v>1800.8679686195962</v>
      </c>
    </row>
    <row r="261" spans="1:9" s="8" customFormat="1" ht="12.75" customHeight="1">
      <c r="A261" s="217"/>
      <c r="B261" s="166"/>
      <c r="C261" s="167"/>
      <c r="D261" s="165"/>
      <c r="E261" s="202"/>
      <c r="F261" s="169"/>
      <c r="G261" s="170"/>
      <c r="H261" s="171"/>
      <c r="I261" s="169"/>
    </row>
    <row r="262" spans="1:9" s="8" customFormat="1" ht="12.75" customHeight="1">
      <c r="A262" s="48" t="s">
        <v>87</v>
      </c>
      <c r="B262" s="22">
        <v>2003</v>
      </c>
      <c r="C262" s="55" t="s">
        <v>718</v>
      </c>
      <c r="D262" s="10" t="s">
        <v>320</v>
      </c>
      <c r="E262" s="246"/>
      <c r="F262" s="356">
        <v>3.893125</v>
      </c>
      <c r="G262" s="101"/>
      <c r="H262" s="348">
        <f>1356/0.88603</f>
        <v>1530.4222204665757</v>
      </c>
      <c r="I262" s="344">
        <f aca="true" t="shared" si="12" ref="I262:I273">$H262/$F262</f>
        <v>393.10893445922636</v>
      </c>
    </row>
    <row r="263" spans="1:9" s="8" customFormat="1" ht="12.75" customHeight="1">
      <c r="A263" s="48" t="s">
        <v>87</v>
      </c>
      <c r="B263" s="22">
        <v>2003</v>
      </c>
      <c r="C263" s="55" t="s">
        <v>276</v>
      </c>
      <c r="D263" s="10" t="s">
        <v>331</v>
      </c>
      <c r="E263" s="247"/>
      <c r="F263" s="356"/>
      <c r="G263" s="101"/>
      <c r="H263" s="348"/>
      <c r="I263" s="344" t="e">
        <f t="shared" si="12"/>
        <v>#DIV/0!</v>
      </c>
    </row>
    <row r="264" spans="1:9" s="8" customFormat="1" ht="12.75" customHeight="1">
      <c r="A264" s="48" t="s">
        <v>87</v>
      </c>
      <c r="B264" s="22">
        <v>2003</v>
      </c>
      <c r="C264" s="55" t="s">
        <v>472</v>
      </c>
      <c r="D264" s="10" t="s">
        <v>348</v>
      </c>
      <c r="E264" s="248"/>
      <c r="F264" s="356"/>
      <c r="G264" s="101"/>
      <c r="H264" s="348"/>
      <c r="I264" s="344" t="e">
        <f t="shared" si="12"/>
        <v>#DIV/0!</v>
      </c>
    </row>
    <row r="265" spans="1:9" s="8" customFormat="1" ht="3" customHeight="1">
      <c r="A265" s="48"/>
      <c r="B265" s="22"/>
      <c r="C265" s="55"/>
      <c r="D265" s="10"/>
      <c r="E265" s="81"/>
      <c r="F265" s="82"/>
      <c r="G265" s="101"/>
      <c r="H265" s="124"/>
      <c r="I265" s="29"/>
    </row>
    <row r="266" spans="1:9" s="8" customFormat="1" ht="12.75" customHeight="1">
      <c r="A266" s="48" t="s">
        <v>87</v>
      </c>
      <c r="B266" s="22">
        <v>2003</v>
      </c>
      <c r="C266" s="9" t="s">
        <v>6</v>
      </c>
      <c r="D266" s="10" t="s">
        <v>323</v>
      </c>
      <c r="E266" s="81"/>
      <c r="F266" s="40">
        <v>1.9299015</v>
      </c>
      <c r="G266" s="101"/>
      <c r="H266" s="123">
        <f>471/0.88603</f>
        <v>531.5847093213548</v>
      </c>
      <c r="I266" s="15">
        <f t="shared" si="12"/>
        <v>275.4465496406707</v>
      </c>
    </row>
    <row r="267" spans="1:9" s="8" customFormat="1" ht="12.75" customHeight="1">
      <c r="A267" s="48" t="s">
        <v>87</v>
      </c>
      <c r="B267" s="22">
        <v>2003</v>
      </c>
      <c r="C267" s="9" t="s">
        <v>9</v>
      </c>
      <c r="D267" s="10" t="s">
        <v>332</v>
      </c>
      <c r="E267" s="81"/>
      <c r="F267" s="40">
        <v>0.6275</v>
      </c>
      <c r="G267" s="101"/>
      <c r="H267" s="123">
        <f>277/0.88603</f>
        <v>312.63049783867365</v>
      </c>
      <c r="I267" s="15">
        <f t="shared" si="12"/>
        <v>498.21593281063537</v>
      </c>
    </row>
    <row r="268" spans="1:9" s="8" customFormat="1" ht="3" customHeight="1">
      <c r="A268" s="48"/>
      <c r="B268" s="22"/>
      <c r="C268" s="9"/>
      <c r="D268" s="10"/>
      <c r="E268" s="81"/>
      <c r="F268" s="40"/>
      <c r="G268" s="101"/>
      <c r="H268" s="123"/>
      <c r="I268" s="15"/>
    </row>
    <row r="269" spans="1:9" s="8" customFormat="1" ht="12.75" customHeight="1">
      <c r="A269" s="48" t="s">
        <v>87</v>
      </c>
      <c r="B269" s="22">
        <v>2003</v>
      </c>
      <c r="C269" s="55" t="s">
        <v>64</v>
      </c>
      <c r="D269" s="10" t="s">
        <v>315</v>
      </c>
      <c r="E269" s="246"/>
      <c r="F269" s="345">
        <v>0.00425</v>
      </c>
      <c r="G269" s="346" t="s">
        <v>10</v>
      </c>
      <c r="H269" s="348">
        <f>5/0.88603</f>
        <v>5.643149780481473</v>
      </c>
      <c r="I269" s="344">
        <f t="shared" si="12"/>
        <v>1327.799948348582</v>
      </c>
    </row>
    <row r="270" spans="1:9" s="8" customFormat="1" ht="12.75" customHeight="1">
      <c r="A270" s="48" t="s">
        <v>87</v>
      </c>
      <c r="B270" s="22">
        <v>2003</v>
      </c>
      <c r="C270" s="55" t="s">
        <v>467</v>
      </c>
      <c r="D270" s="10" t="s">
        <v>354</v>
      </c>
      <c r="E270" s="247"/>
      <c r="F270" s="345"/>
      <c r="G270" s="346"/>
      <c r="H270" s="348"/>
      <c r="I270" s="344" t="e">
        <f t="shared" si="12"/>
        <v>#DIV/0!</v>
      </c>
    </row>
    <row r="271" spans="1:9" s="8" customFormat="1" ht="12.75" customHeight="1">
      <c r="A271" s="48" t="s">
        <v>87</v>
      </c>
      <c r="B271" s="22">
        <v>2003</v>
      </c>
      <c r="C271" s="55" t="s">
        <v>14</v>
      </c>
      <c r="D271" s="10" t="s">
        <v>345</v>
      </c>
      <c r="E271" s="248"/>
      <c r="F271" s="345"/>
      <c r="G271" s="346"/>
      <c r="H271" s="348"/>
      <c r="I271" s="344" t="e">
        <f t="shared" si="12"/>
        <v>#DIV/0!</v>
      </c>
    </row>
    <row r="272" spans="1:9" s="8" customFormat="1" ht="3" customHeight="1">
      <c r="A272" s="48"/>
      <c r="B272" s="22"/>
      <c r="C272" s="55"/>
      <c r="D272" s="10"/>
      <c r="E272" s="81"/>
      <c r="F272" s="82"/>
      <c r="G272" s="250"/>
      <c r="H272" s="124"/>
      <c r="I272" s="29"/>
    </row>
    <row r="273" spans="1:9" s="8" customFormat="1" ht="12.75" customHeight="1">
      <c r="A273" s="48" t="s">
        <v>87</v>
      </c>
      <c r="B273" s="22">
        <v>2003</v>
      </c>
      <c r="D273" s="8" t="s">
        <v>482</v>
      </c>
      <c r="E273" s="78"/>
      <c r="F273" s="15">
        <v>21.685625</v>
      </c>
      <c r="G273" s="101"/>
      <c r="H273" s="123">
        <f>8785/0.88603</f>
        <v>9915.014164305949</v>
      </c>
      <c r="I273" s="15">
        <f t="shared" si="12"/>
        <v>457.21597437500407</v>
      </c>
    </row>
    <row r="274" spans="1:9" s="8" customFormat="1" ht="12.75" customHeight="1">
      <c r="A274" s="217"/>
      <c r="B274" s="166"/>
      <c r="C274" s="165"/>
      <c r="D274" s="165"/>
      <c r="E274" s="202"/>
      <c r="F274" s="169"/>
      <c r="G274" s="170"/>
      <c r="H274" s="171"/>
      <c r="I274" s="169"/>
    </row>
    <row r="275" spans="1:9" s="8" customFormat="1" ht="3" customHeight="1">
      <c r="A275" s="217"/>
      <c r="B275" s="166"/>
      <c r="C275" s="165"/>
      <c r="D275" s="165"/>
      <c r="E275" s="202"/>
      <c r="F275" s="169"/>
      <c r="G275" s="170"/>
      <c r="H275" s="171"/>
      <c r="I275" s="169"/>
    </row>
    <row r="276" spans="1:9" s="8" customFormat="1" ht="12.75" customHeight="1">
      <c r="A276" s="48" t="s">
        <v>87</v>
      </c>
      <c r="B276" s="22">
        <v>2004</v>
      </c>
      <c r="C276" s="55" t="s">
        <v>718</v>
      </c>
      <c r="D276" s="10" t="s">
        <v>320</v>
      </c>
      <c r="E276" s="246"/>
      <c r="F276" s="345">
        <v>3.45725</v>
      </c>
      <c r="G276" s="101"/>
      <c r="H276" s="348">
        <f>1425/0.80537</f>
        <v>1769.3730831791597</v>
      </c>
      <c r="I276" s="344">
        <f aca="true" t="shared" si="13" ref="I276:I282">$H276/$F276</f>
        <v>511.78627035336166</v>
      </c>
    </row>
    <row r="277" spans="1:9" s="8" customFormat="1" ht="12.75" customHeight="1">
      <c r="A277" s="48" t="s">
        <v>87</v>
      </c>
      <c r="B277" s="22">
        <v>2004</v>
      </c>
      <c r="C277" s="55" t="s">
        <v>276</v>
      </c>
      <c r="D277" s="10" t="s">
        <v>331</v>
      </c>
      <c r="E277" s="247"/>
      <c r="F277" s="345"/>
      <c r="G277" s="101"/>
      <c r="H277" s="348"/>
      <c r="I277" s="344" t="e">
        <f t="shared" si="13"/>
        <v>#DIV/0!</v>
      </c>
    </row>
    <row r="278" spans="1:9" s="8" customFormat="1" ht="12.75" customHeight="1">
      <c r="A278" s="48" t="s">
        <v>87</v>
      </c>
      <c r="B278" s="22">
        <v>2004</v>
      </c>
      <c r="C278" s="55" t="s">
        <v>472</v>
      </c>
      <c r="D278" s="10" t="s">
        <v>348</v>
      </c>
      <c r="E278" s="248"/>
      <c r="F278" s="345"/>
      <c r="G278" s="101"/>
      <c r="H278" s="348"/>
      <c r="I278" s="344" t="e">
        <f t="shared" si="13"/>
        <v>#DIV/0!</v>
      </c>
    </row>
    <row r="279" spans="1:9" s="8" customFormat="1" ht="3" customHeight="1">
      <c r="A279" s="48"/>
      <c r="B279" s="22"/>
      <c r="C279" s="55"/>
      <c r="D279" s="10"/>
      <c r="E279" s="81"/>
      <c r="F279" s="82"/>
      <c r="G279" s="101"/>
      <c r="H279" s="124"/>
      <c r="I279" s="29"/>
    </row>
    <row r="280" spans="1:9" s="8" customFormat="1" ht="12.75" customHeight="1">
      <c r="A280" s="48" t="s">
        <v>87</v>
      </c>
      <c r="B280" s="22">
        <v>2004</v>
      </c>
      <c r="C280" s="9" t="s">
        <v>6</v>
      </c>
      <c r="D280" s="10" t="s">
        <v>323</v>
      </c>
      <c r="E280" s="81"/>
      <c r="F280" s="40">
        <v>1.9595385</v>
      </c>
      <c r="G280" s="101"/>
      <c r="H280" s="123">
        <f>320/0.80537</f>
        <v>397.3329028893552</v>
      </c>
      <c r="I280" s="15">
        <f t="shared" si="13"/>
        <v>202.76861255308592</v>
      </c>
    </row>
    <row r="281" spans="1:9" s="8" customFormat="1" ht="12.75" customHeight="1">
      <c r="A281" s="48" t="s">
        <v>87</v>
      </c>
      <c r="B281" s="22">
        <v>2004</v>
      </c>
      <c r="C281" s="9" t="s">
        <v>9</v>
      </c>
      <c r="D281" s="10" t="s">
        <v>332</v>
      </c>
      <c r="E281" s="81"/>
      <c r="F281" s="40">
        <v>0.71925</v>
      </c>
      <c r="G281" s="101"/>
      <c r="H281" s="123">
        <f>340/0.80537</f>
        <v>422.16620931993987</v>
      </c>
      <c r="I281" s="15">
        <f t="shared" si="13"/>
        <v>586.9533671462494</v>
      </c>
    </row>
    <row r="282" spans="1:9" ht="12.75" customHeight="1">
      <c r="A282" s="48" t="s">
        <v>87</v>
      </c>
      <c r="B282" s="22">
        <v>2004</v>
      </c>
      <c r="C282" s="8"/>
      <c r="D282" s="8" t="s">
        <v>482</v>
      </c>
      <c r="E282" s="78"/>
      <c r="F282" s="15">
        <v>18.675</v>
      </c>
      <c r="G282" s="101"/>
      <c r="H282" s="123">
        <f>9070/0.80537</f>
        <v>11261.904466270162</v>
      </c>
      <c r="I282" s="15">
        <f t="shared" si="13"/>
        <v>603.0470932407047</v>
      </c>
    </row>
    <row r="283" spans="1:9" ht="12.75" customHeight="1">
      <c r="A283" s="50"/>
      <c r="C283" s="24"/>
      <c r="D283" s="24"/>
      <c r="E283" s="24"/>
      <c r="F283" s="26"/>
      <c r="G283" s="87"/>
      <c r="H283" s="127"/>
      <c r="I283" s="46"/>
    </row>
    <row r="284" spans="1:9" ht="12.75" customHeight="1">
      <c r="A284" s="48" t="s">
        <v>78</v>
      </c>
      <c r="B284" s="22">
        <v>2003</v>
      </c>
      <c r="C284" s="9" t="s">
        <v>6</v>
      </c>
      <c r="D284" s="75" t="s">
        <v>323</v>
      </c>
      <c r="E284" s="75"/>
      <c r="F284" s="255">
        <v>0</v>
      </c>
      <c r="G284" s="102" t="s">
        <v>10</v>
      </c>
      <c r="H284" s="126">
        <f>11/0.88603</f>
        <v>12.414929517059242</v>
      </c>
      <c r="I284" s="69" t="s">
        <v>71</v>
      </c>
    </row>
    <row r="285" spans="1:9" ht="12.75" customHeight="1">
      <c r="A285" s="48" t="s">
        <v>78</v>
      </c>
      <c r="B285" s="22">
        <v>2003</v>
      </c>
      <c r="C285" s="9" t="s">
        <v>719</v>
      </c>
      <c r="D285" s="75" t="s">
        <v>313</v>
      </c>
      <c r="E285" s="75"/>
      <c r="F285" s="255">
        <v>0</v>
      </c>
      <c r="G285" s="102" t="s">
        <v>10</v>
      </c>
      <c r="H285" s="126">
        <v>0</v>
      </c>
      <c r="I285" s="69" t="s">
        <v>71</v>
      </c>
    </row>
    <row r="286" spans="1:9" ht="12.75" customHeight="1">
      <c r="A286" s="48" t="s">
        <v>78</v>
      </c>
      <c r="B286" s="22">
        <v>2003</v>
      </c>
      <c r="C286" s="9" t="s">
        <v>9</v>
      </c>
      <c r="D286" s="75" t="s">
        <v>332</v>
      </c>
      <c r="E286" s="75"/>
      <c r="F286" s="255">
        <v>0</v>
      </c>
      <c r="G286" s="102" t="s">
        <v>10</v>
      </c>
      <c r="H286" s="126">
        <f>22/0.88603</f>
        <v>24.829859034118485</v>
      </c>
      <c r="I286" s="69" t="s">
        <v>71</v>
      </c>
    </row>
    <row r="287" spans="1:9" ht="12.75" customHeight="1">
      <c r="A287" s="48" t="s">
        <v>78</v>
      </c>
      <c r="B287" s="22">
        <v>2003</v>
      </c>
      <c r="C287" s="25"/>
      <c r="D287" s="25" t="s">
        <v>482</v>
      </c>
      <c r="E287" s="25"/>
      <c r="F287" s="21">
        <v>16.4</v>
      </c>
      <c r="G287" s="102"/>
      <c r="H287" s="126">
        <f>1120/0.88603</f>
        <v>1264.06555082785</v>
      </c>
      <c r="I287" s="21">
        <f>$H287/$F287</f>
        <v>77.0771677334055</v>
      </c>
    </row>
    <row r="288" spans="1:9" ht="12.75" customHeight="1">
      <c r="A288" s="48"/>
      <c r="B288" s="22"/>
      <c r="C288" s="25"/>
      <c r="D288" s="25"/>
      <c r="E288" s="25"/>
      <c r="F288" s="21"/>
      <c r="G288" s="102"/>
      <c r="H288" s="126"/>
      <c r="I288" s="21"/>
    </row>
    <row r="289" spans="1:9" ht="12.75" customHeight="1">
      <c r="A289" s="48" t="s">
        <v>78</v>
      </c>
      <c r="B289" s="22">
        <v>2004</v>
      </c>
      <c r="C289" s="9" t="s">
        <v>9</v>
      </c>
      <c r="D289" s="75" t="s">
        <v>332</v>
      </c>
      <c r="E289" s="75"/>
      <c r="F289" s="255">
        <v>0.2</v>
      </c>
      <c r="G289" s="102" t="s">
        <v>10</v>
      </c>
      <c r="H289" s="126">
        <f>88/0.80537</f>
        <v>109.26654829457267</v>
      </c>
      <c r="I289" s="21">
        <f>$H289/$F289</f>
        <v>546.3327414728633</v>
      </c>
    </row>
    <row r="290" spans="1:9" ht="12.75" customHeight="1">
      <c r="A290" s="48" t="s">
        <v>78</v>
      </c>
      <c r="B290" s="22">
        <v>2004</v>
      </c>
      <c r="C290" s="25"/>
      <c r="D290" s="25" t="s">
        <v>482</v>
      </c>
      <c r="E290" s="25"/>
      <c r="F290" s="21">
        <v>21.9</v>
      </c>
      <c r="G290" s="102"/>
      <c r="H290" s="126">
        <f>1606/0.80537</f>
        <v>1994.1145063759514</v>
      </c>
      <c r="I290" s="21">
        <f>$H290/$F290</f>
        <v>91.05545691214391</v>
      </c>
    </row>
    <row r="291" spans="1:9" ht="12.75" customHeight="1">
      <c r="A291" s="48"/>
      <c r="B291" s="22"/>
      <c r="C291" s="25"/>
      <c r="D291" s="25"/>
      <c r="E291" s="25"/>
      <c r="F291" s="21"/>
      <c r="G291" s="102"/>
      <c r="H291" s="126"/>
      <c r="I291" s="21"/>
    </row>
    <row r="292" spans="1:9" ht="12.75" customHeight="1">
      <c r="A292" s="48" t="s">
        <v>251</v>
      </c>
      <c r="B292" s="22">
        <v>2003</v>
      </c>
      <c r="C292" s="55" t="s">
        <v>3</v>
      </c>
      <c r="D292" s="10" t="s">
        <v>325</v>
      </c>
      <c r="E292" s="252"/>
      <c r="F292" s="353">
        <v>3</v>
      </c>
      <c r="G292" s="100"/>
      <c r="H292" s="351">
        <f>1181/0.88603</f>
        <v>1332.911978149724</v>
      </c>
      <c r="I292" s="347">
        <f>$H292/$F292</f>
        <v>444.30399271657467</v>
      </c>
    </row>
    <row r="293" spans="1:9" ht="12.75" customHeight="1">
      <c r="A293" s="48" t="s">
        <v>251</v>
      </c>
      <c r="B293" s="22">
        <v>2003</v>
      </c>
      <c r="C293" s="55" t="s">
        <v>466</v>
      </c>
      <c r="D293" s="10" t="s">
        <v>348</v>
      </c>
      <c r="E293" s="253"/>
      <c r="F293" s="353"/>
      <c r="G293" s="100"/>
      <c r="H293" s="351"/>
      <c r="I293" s="347" t="e">
        <f>$H293/$F293</f>
        <v>#DIV/0!</v>
      </c>
    </row>
    <row r="294" spans="1:9" ht="12.75" customHeight="1">
      <c r="A294" s="48" t="s">
        <v>251</v>
      </c>
      <c r="B294" s="22">
        <v>2003</v>
      </c>
      <c r="C294" s="55" t="s">
        <v>718</v>
      </c>
      <c r="D294" s="10" t="s">
        <v>320</v>
      </c>
      <c r="E294" s="254"/>
      <c r="F294" s="353"/>
      <c r="G294" s="100"/>
      <c r="H294" s="351"/>
      <c r="I294" s="347" t="e">
        <f>$H294/$F294</f>
        <v>#DIV/0!</v>
      </c>
    </row>
    <row r="295" spans="1:9" ht="3" customHeight="1">
      <c r="A295" s="48"/>
      <c r="B295" s="22"/>
      <c r="C295" s="55"/>
      <c r="D295" s="10"/>
      <c r="E295" s="75"/>
      <c r="F295" s="77"/>
      <c r="G295" s="100"/>
      <c r="H295" s="127"/>
      <c r="I295" s="46"/>
    </row>
    <row r="296" spans="1:9" ht="12.75" customHeight="1">
      <c r="A296" s="48" t="s">
        <v>251</v>
      </c>
      <c r="B296" s="22">
        <v>2003</v>
      </c>
      <c r="C296" s="20" t="s">
        <v>9</v>
      </c>
      <c r="D296" s="10" t="s">
        <v>332</v>
      </c>
      <c r="E296" s="16"/>
      <c r="F296" s="15">
        <v>0</v>
      </c>
      <c r="G296" s="101" t="s">
        <v>10</v>
      </c>
      <c r="H296" s="125" t="s">
        <v>71</v>
      </c>
      <c r="I296" s="69" t="s">
        <v>71</v>
      </c>
    </row>
    <row r="297" spans="1:9" ht="12.75" customHeight="1">
      <c r="A297" s="48" t="s">
        <v>251</v>
      </c>
      <c r="B297" s="22">
        <v>2003</v>
      </c>
      <c r="C297" s="8"/>
      <c r="D297" s="8" t="s">
        <v>482</v>
      </c>
      <c r="E297" s="16"/>
      <c r="F297" s="15">
        <v>2</v>
      </c>
      <c r="G297" s="101"/>
      <c r="H297" s="123">
        <f>495/0.88603</f>
        <v>558.6718282676659</v>
      </c>
      <c r="I297" s="21">
        <f>$H297/$F297</f>
        <v>279.33591413383294</v>
      </c>
    </row>
    <row r="298" spans="1:9" ht="12.75" customHeight="1">
      <c r="A298" s="48"/>
      <c r="B298" s="22"/>
      <c r="C298" s="8"/>
      <c r="D298" s="8"/>
      <c r="E298" s="16"/>
      <c r="F298" s="15"/>
      <c r="G298" s="101"/>
      <c r="H298" s="123"/>
      <c r="I298" s="21"/>
    </row>
    <row r="299" spans="1:9" ht="12.75" customHeight="1">
      <c r="A299" s="48" t="s">
        <v>251</v>
      </c>
      <c r="B299" s="22">
        <v>2004</v>
      </c>
      <c r="C299" s="55" t="s">
        <v>3</v>
      </c>
      <c r="D299" s="10" t="s">
        <v>325</v>
      </c>
      <c r="E299" s="252"/>
      <c r="F299" s="353">
        <v>5</v>
      </c>
      <c r="G299" s="100"/>
      <c r="H299" s="351">
        <f>1955/0.80537</f>
        <v>2427.455703589654</v>
      </c>
      <c r="I299" s="347">
        <f>$H299/$F299</f>
        <v>485.4911407179308</v>
      </c>
    </row>
    <row r="300" spans="1:9" ht="12.75" customHeight="1">
      <c r="A300" s="48" t="s">
        <v>251</v>
      </c>
      <c r="B300" s="22">
        <v>2004</v>
      </c>
      <c r="C300" s="55" t="s">
        <v>466</v>
      </c>
      <c r="D300" s="10" t="s">
        <v>348</v>
      </c>
      <c r="E300" s="253"/>
      <c r="F300" s="353"/>
      <c r="G300" s="100"/>
      <c r="H300" s="351"/>
      <c r="I300" s="347" t="e">
        <f>$H300/$F300</f>
        <v>#DIV/0!</v>
      </c>
    </row>
    <row r="301" spans="1:9" ht="12.75" customHeight="1">
      <c r="A301" s="48" t="s">
        <v>251</v>
      </c>
      <c r="B301" s="22">
        <v>2004</v>
      </c>
      <c r="C301" s="55" t="s">
        <v>718</v>
      </c>
      <c r="D301" s="10" t="s">
        <v>320</v>
      </c>
      <c r="E301" s="254"/>
      <c r="F301" s="353"/>
      <c r="G301" s="100"/>
      <c r="H301" s="351"/>
      <c r="I301" s="347" t="e">
        <f>$H301/$F301</f>
        <v>#DIV/0!</v>
      </c>
    </row>
    <row r="302" spans="1:9" ht="3" customHeight="1">
      <c r="A302" s="48"/>
      <c r="B302" s="22"/>
      <c r="C302" s="55"/>
      <c r="D302" s="10"/>
      <c r="E302" s="75"/>
      <c r="F302" s="77"/>
      <c r="G302" s="100"/>
      <c r="H302" s="127"/>
      <c r="I302" s="46"/>
    </row>
    <row r="303" spans="1:9" ht="12.75" customHeight="1">
      <c r="A303" s="48" t="s">
        <v>251</v>
      </c>
      <c r="B303" s="22">
        <v>2004</v>
      </c>
      <c r="C303" s="20" t="s">
        <v>9</v>
      </c>
      <c r="D303" s="10" t="s">
        <v>332</v>
      </c>
      <c r="E303" s="16"/>
      <c r="F303" s="15">
        <v>0</v>
      </c>
      <c r="G303" s="101" t="s">
        <v>10</v>
      </c>
      <c r="H303" s="125" t="s">
        <v>71</v>
      </c>
      <c r="I303" s="69" t="s">
        <v>71</v>
      </c>
    </row>
    <row r="304" spans="1:9" ht="12.75" customHeight="1">
      <c r="A304" s="48" t="s">
        <v>251</v>
      </c>
      <c r="B304" s="22">
        <v>2004</v>
      </c>
      <c r="C304" s="8"/>
      <c r="D304" s="8" t="s">
        <v>482</v>
      </c>
      <c r="E304" s="16"/>
      <c r="F304" s="15">
        <v>1</v>
      </c>
      <c r="G304" s="101"/>
      <c r="H304" s="123">
        <f>402/0.80537</f>
        <v>499.14945925475246</v>
      </c>
      <c r="I304" s="21">
        <f>$H304/$F304</f>
        <v>499.14945925475246</v>
      </c>
    </row>
    <row r="305" spans="1:6" ht="12.75" customHeight="1">
      <c r="A305" s="50"/>
      <c r="C305" s="1"/>
      <c r="D305" s="1"/>
      <c r="E305" s="2"/>
      <c r="F305" s="14"/>
    </row>
    <row r="306" spans="1:9" ht="12.75" customHeight="1">
      <c r="A306" s="24" t="s">
        <v>256</v>
      </c>
      <c r="B306" s="5">
        <v>2003</v>
      </c>
      <c r="C306" s="1" t="s">
        <v>254</v>
      </c>
      <c r="D306" s="1" t="s">
        <v>42</v>
      </c>
      <c r="E306" s="2"/>
      <c r="F306" s="14">
        <v>0.007</v>
      </c>
      <c r="G306" s="86" t="s">
        <v>10</v>
      </c>
      <c r="H306" s="138">
        <f>4.41/0.5823</f>
        <v>7.5734157650695515</v>
      </c>
      <c r="I306" s="21">
        <f>$H306/$F306</f>
        <v>1081.9165378670787</v>
      </c>
    </row>
    <row r="307" spans="1:9" ht="12.75" customHeight="1">
      <c r="A307" s="24" t="s">
        <v>256</v>
      </c>
      <c r="B307" s="5">
        <v>2003</v>
      </c>
      <c r="C307" s="1" t="s">
        <v>255</v>
      </c>
      <c r="D307" s="1"/>
      <c r="E307" s="2"/>
      <c r="F307" s="14">
        <v>0</v>
      </c>
      <c r="G307" s="86" t="s">
        <v>10</v>
      </c>
      <c r="H307" s="138">
        <f>3.108/0.5823</f>
        <v>5.337454920144255</v>
      </c>
      <c r="I307" s="69" t="s">
        <v>71</v>
      </c>
    </row>
    <row r="308" spans="1:6" ht="12.75" customHeight="1">
      <c r="A308" s="50"/>
      <c r="C308" s="1"/>
      <c r="D308" s="1"/>
      <c r="E308" s="2"/>
      <c r="F308" s="14"/>
    </row>
    <row r="309" spans="1:9" ht="12.75" customHeight="1">
      <c r="A309" s="8" t="s">
        <v>77</v>
      </c>
      <c r="B309" s="22">
        <v>2004</v>
      </c>
      <c r="C309" s="22" t="s">
        <v>616</v>
      </c>
      <c r="D309" s="1" t="s">
        <v>42</v>
      </c>
      <c r="E309" s="78"/>
      <c r="F309" s="15">
        <v>0</v>
      </c>
      <c r="G309" s="101" t="s">
        <v>10</v>
      </c>
      <c r="H309" s="123">
        <v>20</v>
      </c>
      <c r="I309" s="59" t="s">
        <v>71</v>
      </c>
    </row>
    <row r="310" spans="1:6" ht="12.75" customHeight="1">
      <c r="A310" s="50"/>
      <c r="C310" s="1"/>
      <c r="D310" s="1"/>
      <c r="E310" s="2"/>
      <c r="F310" s="14"/>
    </row>
    <row r="311" spans="1:9" ht="12.75" customHeight="1">
      <c r="A311" s="1" t="s">
        <v>165</v>
      </c>
      <c r="B311" s="5">
        <v>2003</v>
      </c>
      <c r="C311" s="1" t="s">
        <v>215</v>
      </c>
      <c r="D311" s="1" t="s">
        <v>42</v>
      </c>
      <c r="E311" s="2"/>
      <c r="F311" s="14">
        <v>1.02</v>
      </c>
      <c r="H311" s="138">
        <f>236.768</f>
        <v>236.768</v>
      </c>
      <c r="I311" s="26">
        <f>$H311/$F311</f>
        <v>232.12549019607843</v>
      </c>
    </row>
    <row r="312" spans="1:9" ht="12.75" customHeight="1">
      <c r="A312" s="1" t="s">
        <v>165</v>
      </c>
      <c r="B312" s="5">
        <v>2003</v>
      </c>
      <c r="C312" s="1" t="s">
        <v>214</v>
      </c>
      <c r="D312" s="1"/>
      <c r="E312" s="2"/>
      <c r="F312" s="14">
        <v>0.58</v>
      </c>
      <c r="H312" s="138">
        <f>107.303</f>
        <v>107.303</v>
      </c>
      <c r="I312" s="26">
        <f>$H312/$F312</f>
        <v>185.0051724137931</v>
      </c>
    </row>
    <row r="313" spans="3:6" ht="12.75" customHeight="1">
      <c r="C313" s="1"/>
      <c r="D313" s="1"/>
      <c r="E313" s="2"/>
      <c r="F313" s="14"/>
    </row>
    <row r="314" spans="1:9" ht="12.75" customHeight="1">
      <c r="A314" s="1" t="s">
        <v>165</v>
      </c>
      <c r="B314" s="5">
        <v>2004</v>
      </c>
      <c r="C314" s="1" t="s">
        <v>215</v>
      </c>
      <c r="D314" s="1" t="s">
        <v>42</v>
      </c>
      <c r="E314" s="2"/>
      <c r="F314" s="14">
        <v>0.413</v>
      </c>
      <c r="G314" s="86" t="s">
        <v>10</v>
      </c>
      <c r="H314" s="138">
        <v>104.584</v>
      </c>
      <c r="I314" s="26">
        <f>$H314/$F314</f>
        <v>253.23002421307507</v>
      </c>
    </row>
    <row r="315" spans="1:9" ht="12.75" customHeight="1">
      <c r="A315" s="1" t="s">
        <v>165</v>
      </c>
      <c r="B315" s="5">
        <v>2004</v>
      </c>
      <c r="C315" s="1" t="s">
        <v>214</v>
      </c>
      <c r="D315" s="1"/>
      <c r="E315" s="2"/>
      <c r="F315" s="14">
        <v>0.114</v>
      </c>
      <c r="G315" s="86" t="s">
        <v>10</v>
      </c>
      <c r="H315" s="138">
        <v>31.277</v>
      </c>
      <c r="I315" s="26">
        <f>$H315/$F315</f>
        <v>274.359649122807</v>
      </c>
    </row>
  </sheetData>
  <mergeCells count="31">
    <mergeCell ref="F247:F249"/>
    <mergeCell ref="I247:I249"/>
    <mergeCell ref="G243:G245"/>
    <mergeCell ref="G247:G249"/>
    <mergeCell ref="H243:H245"/>
    <mergeCell ref="H247:H249"/>
    <mergeCell ref="F243:F245"/>
    <mergeCell ref="H11:H15"/>
    <mergeCell ref="F11:F15"/>
    <mergeCell ref="I11:I15"/>
    <mergeCell ref="I243:I245"/>
    <mergeCell ref="F255:F257"/>
    <mergeCell ref="H255:H257"/>
    <mergeCell ref="I255:I257"/>
    <mergeCell ref="G255:G257"/>
    <mergeCell ref="F292:F294"/>
    <mergeCell ref="H292:H294"/>
    <mergeCell ref="I292:I294"/>
    <mergeCell ref="F276:F278"/>
    <mergeCell ref="H276:H278"/>
    <mergeCell ref="I276:I278"/>
    <mergeCell ref="F299:F301"/>
    <mergeCell ref="H299:H301"/>
    <mergeCell ref="I299:I301"/>
    <mergeCell ref="F262:F264"/>
    <mergeCell ref="H262:H264"/>
    <mergeCell ref="I262:I264"/>
    <mergeCell ref="F269:F271"/>
    <mergeCell ref="G269:G271"/>
    <mergeCell ref="H269:H271"/>
    <mergeCell ref="I269:I271"/>
  </mergeCells>
  <printOptions horizontalCentered="1"/>
  <pageMargins left="0.5905511811023623" right="0.5905511811023623" top="0.7874015748031497" bottom="0.5905511811023623" header="0.5118110236220472" footer="0.5118110236220472"/>
  <pageSetup fitToHeight="25" horizontalDpi="600" verticalDpi="600" orientation="portrait" paperSize="9" scale="91" r:id="rId3"/>
  <rowBreaks count="5" manualBreakCount="5">
    <brk id="61" max="8" man="1"/>
    <brk id="106" max="8" man="1"/>
    <brk id="164" max="8" man="1"/>
    <brk id="211" max="8" man="1"/>
    <brk id="274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6"/>
  <sheetViews>
    <sheetView view="pageBreakPreview" zoomScale="115" zoomScaleNormal="90" zoomScaleSheetLayoutView="115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" width="5.8515625" style="5" customWidth="1"/>
    <col min="3" max="3" width="29.28125" style="3" customWidth="1"/>
    <col min="4" max="4" width="24.00390625" style="11" customWidth="1"/>
    <col min="5" max="5" width="1.7109375" style="11" customWidth="1"/>
    <col min="6" max="6" width="8.7109375" style="35" customWidth="1"/>
    <col min="7" max="7" width="3.140625" style="86" customWidth="1"/>
    <col min="8" max="8" width="11.00390625" style="138" hidden="1" customWidth="1"/>
    <col min="9" max="9" width="8.7109375" style="14" customWidth="1"/>
    <col min="10" max="10" width="9.8515625" style="1" customWidth="1"/>
    <col min="11" max="11" width="8.140625" style="1" customWidth="1"/>
    <col min="12" max="12" width="5.140625" style="1" customWidth="1"/>
    <col min="13" max="13" width="6.00390625" style="1" customWidth="1"/>
    <col min="14" max="16384" width="9.140625" style="1" customWidth="1"/>
  </cols>
  <sheetData>
    <row r="1" spans="1:9" s="58" customFormat="1" ht="19.5" customHeight="1">
      <c r="A1" s="108" t="s">
        <v>38</v>
      </c>
      <c r="B1" s="108"/>
      <c r="C1" s="108"/>
      <c r="D1" s="108"/>
      <c r="E1" s="108"/>
      <c r="F1" s="108"/>
      <c r="G1" s="115"/>
      <c r="H1" s="142"/>
      <c r="I1" s="108"/>
    </row>
    <row r="2" spans="1:9" ht="15.75">
      <c r="A2" s="6" t="s">
        <v>0</v>
      </c>
      <c r="B2" s="32" t="s">
        <v>31</v>
      </c>
      <c r="C2" s="6" t="s">
        <v>29</v>
      </c>
      <c r="D2" s="6" t="s">
        <v>41</v>
      </c>
      <c r="E2" s="6"/>
      <c r="F2" s="12" t="s">
        <v>1</v>
      </c>
      <c r="G2" s="117"/>
      <c r="H2" s="136" t="s">
        <v>2</v>
      </c>
      <c r="I2" s="12" t="s">
        <v>2</v>
      </c>
    </row>
    <row r="3" spans="1:9" ht="15.75">
      <c r="A3" s="7"/>
      <c r="B3" s="30"/>
      <c r="C3" s="7" t="s">
        <v>28</v>
      </c>
      <c r="D3" s="7"/>
      <c r="E3" s="7"/>
      <c r="F3" s="13" t="s">
        <v>91</v>
      </c>
      <c r="G3" s="114"/>
      <c r="H3" s="131" t="s">
        <v>92</v>
      </c>
      <c r="I3" s="13" t="s">
        <v>92</v>
      </c>
    </row>
    <row r="4" spans="1:9" ht="3" customHeight="1">
      <c r="A4" s="8"/>
      <c r="B4" s="22"/>
      <c r="C4" s="8"/>
      <c r="D4" s="8"/>
      <c r="E4" s="8"/>
      <c r="F4" s="18"/>
      <c r="G4" s="79"/>
      <c r="H4" s="130"/>
      <c r="I4" s="18"/>
    </row>
    <row r="5" spans="1:9" ht="12.75" customHeight="1">
      <c r="A5" s="8" t="s">
        <v>17</v>
      </c>
      <c r="B5" s="22">
        <v>2003</v>
      </c>
      <c r="C5" s="9" t="s">
        <v>3</v>
      </c>
      <c r="D5" s="10" t="s">
        <v>325</v>
      </c>
      <c r="E5" s="75"/>
      <c r="F5" s="82">
        <v>108.142</v>
      </c>
      <c r="G5" s="250"/>
      <c r="H5" s="124">
        <v>87190000</v>
      </c>
      <c r="I5" s="19">
        <f>$H5/$F5/1000</f>
        <v>806.2547391392798</v>
      </c>
    </row>
    <row r="6" spans="1:9" ht="12.75" customHeight="1">
      <c r="A6" s="8" t="s">
        <v>17</v>
      </c>
      <c r="B6" s="22">
        <v>2003</v>
      </c>
      <c r="C6" s="9" t="s">
        <v>4</v>
      </c>
      <c r="D6" s="75" t="s">
        <v>447</v>
      </c>
      <c r="E6" s="75"/>
      <c r="F6" s="82">
        <v>101.028</v>
      </c>
      <c r="G6" s="250"/>
      <c r="H6" s="124">
        <v>78924000</v>
      </c>
      <c r="I6" s="19">
        <f>$H6/$F6/1000</f>
        <v>781.2091697351229</v>
      </c>
    </row>
    <row r="7" spans="1:9" ht="12.75" customHeight="1">
      <c r="A7" s="8" t="s">
        <v>17</v>
      </c>
      <c r="B7" s="22">
        <v>2003</v>
      </c>
      <c r="C7" s="9" t="s">
        <v>184</v>
      </c>
      <c r="D7" s="10" t="s">
        <v>320</v>
      </c>
      <c r="E7" s="75"/>
      <c r="F7" s="82">
        <v>32.853</v>
      </c>
      <c r="G7" s="250"/>
      <c r="H7" s="124">
        <v>31148000</v>
      </c>
      <c r="I7" s="47">
        <f>$H7/$F7/1000</f>
        <v>948.1021520104708</v>
      </c>
    </row>
    <row r="8" spans="1:9" ht="12.75" customHeight="1">
      <c r="A8" s="8" t="s">
        <v>17</v>
      </c>
      <c r="B8" s="22">
        <v>2003</v>
      </c>
      <c r="C8" s="9"/>
      <c r="D8" s="10" t="s">
        <v>482</v>
      </c>
      <c r="E8" s="75"/>
      <c r="F8" s="82">
        <v>237.628</v>
      </c>
      <c r="G8" s="334"/>
      <c r="H8" s="124">
        <v>117206000</v>
      </c>
      <c r="I8" s="47">
        <f>$H8/$F8/1000</f>
        <v>493.2331206760146</v>
      </c>
    </row>
    <row r="9" spans="1:9" ht="12.75" customHeight="1">
      <c r="A9" s="8"/>
      <c r="B9" s="22"/>
      <c r="C9" s="9"/>
      <c r="D9" s="10"/>
      <c r="E9" s="75"/>
      <c r="F9" s="82"/>
      <c r="G9" s="334"/>
      <c r="H9" s="124"/>
      <c r="I9" s="47"/>
    </row>
    <row r="10" spans="1:9" ht="12.75" customHeight="1">
      <c r="A10" s="8" t="s">
        <v>17</v>
      </c>
      <c r="B10" s="22">
        <v>2004</v>
      </c>
      <c r="C10" s="9" t="s">
        <v>3</v>
      </c>
      <c r="D10" s="10" t="s">
        <v>325</v>
      </c>
      <c r="E10" s="252"/>
      <c r="F10" s="331">
        <f>142.004+182.386+96.161+39.425+222.169</f>
        <v>682.145</v>
      </c>
      <c r="G10" s="334"/>
      <c r="H10" s="335">
        <v>332750420</v>
      </c>
      <c r="I10" s="365">
        <f>$H10/$F10/1000</f>
        <v>487.80013047079433</v>
      </c>
    </row>
    <row r="11" spans="1:9" ht="12.75" customHeight="1">
      <c r="A11" s="8" t="s">
        <v>17</v>
      </c>
      <c r="B11" s="22">
        <v>2004</v>
      </c>
      <c r="C11" s="9" t="s">
        <v>726</v>
      </c>
      <c r="D11" s="10" t="s">
        <v>329</v>
      </c>
      <c r="E11" s="253"/>
      <c r="F11" s="331"/>
      <c r="G11" s="334"/>
      <c r="H11" s="335"/>
      <c r="I11" s="365" t="e">
        <f>$H11/$F11/1000</f>
        <v>#DIV/0!</v>
      </c>
    </row>
    <row r="12" spans="1:9" ht="12.75" customHeight="1">
      <c r="A12" s="8" t="s">
        <v>17</v>
      </c>
      <c r="B12" s="22">
        <v>2004</v>
      </c>
      <c r="C12" s="9" t="s">
        <v>184</v>
      </c>
      <c r="D12" s="10" t="s">
        <v>320</v>
      </c>
      <c r="E12" s="253"/>
      <c r="F12" s="331"/>
      <c r="G12" s="334"/>
      <c r="H12" s="335"/>
      <c r="I12" s="365" t="e">
        <f>$H12/$F12/1000</f>
        <v>#DIV/0!</v>
      </c>
    </row>
    <row r="13" spans="1:9" ht="12.75" customHeight="1">
      <c r="A13" s="8" t="s">
        <v>17</v>
      </c>
      <c r="B13" s="22">
        <v>2004</v>
      </c>
      <c r="C13" s="9" t="s">
        <v>4</v>
      </c>
      <c r="D13" s="75" t="s">
        <v>447</v>
      </c>
      <c r="E13" s="253"/>
      <c r="F13" s="331"/>
      <c r="G13" s="262"/>
      <c r="H13" s="335"/>
      <c r="I13" s="365" t="e">
        <f>$H13/$F13/1000</f>
        <v>#DIV/0!</v>
      </c>
    </row>
    <row r="14" spans="1:9" ht="12.75" customHeight="1">
      <c r="A14" s="8" t="s">
        <v>17</v>
      </c>
      <c r="B14" s="22">
        <v>2004</v>
      </c>
      <c r="C14" s="9"/>
      <c r="D14" s="10" t="s">
        <v>482</v>
      </c>
      <c r="E14" s="254"/>
      <c r="F14" s="331"/>
      <c r="G14" s="250"/>
      <c r="H14" s="335"/>
      <c r="I14" s="365" t="e">
        <f>$H14/$F14/1000</f>
        <v>#DIV/0!</v>
      </c>
    </row>
    <row r="15" spans="1:9" ht="12.75" customHeight="1">
      <c r="A15" s="165"/>
      <c r="B15" s="166"/>
      <c r="C15" s="167"/>
      <c r="D15" s="165"/>
      <c r="E15" s="180"/>
      <c r="F15" s="189"/>
      <c r="G15" s="206"/>
      <c r="H15" s="207"/>
      <c r="I15" s="198"/>
    </row>
    <row r="16" spans="1:9" ht="12.75" customHeight="1">
      <c r="A16" s="8" t="s">
        <v>685</v>
      </c>
      <c r="B16" s="22">
        <v>2003</v>
      </c>
      <c r="C16" s="9" t="s">
        <v>3</v>
      </c>
      <c r="D16" s="10" t="s">
        <v>325</v>
      </c>
      <c r="E16" s="10"/>
      <c r="F16" s="42">
        <v>29</v>
      </c>
      <c r="G16" s="79"/>
      <c r="H16" s="120">
        <f>18968/189219*136722.12</f>
        <v>13705.522025589395</v>
      </c>
      <c r="I16" s="19">
        <f>$H16/$F16</f>
        <v>472.60420777894467</v>
      </c>
    </row>
    <row r="17" spans="1:9" ht="12.75" customHeight="1">
      <c r="A17" s="8" t="s">
        <v>685</v>
      </c>
      <c r="B17" s="22">
        <v>2003</v>
      </c>
      <c r="C17" s="9" t="s">
        <v>4</v>
      </c>
      <c r="D17" s="10" t="s">
        <v>394</v>
      </c>
      <c r="E17" s="10"/>
      <c r="F17" s="42">
        <v>12</v>
      </c>
      <c r="G17" s="79"/>
      <c r="H17" s="120">
        <f>18968/189219*18846.272</f>
        <v>1889.2187745205292</v>
      </c>
      <c r="I17" s="19">
        <f>$H17/$F17</f>
        <v>157.43489787671078</v>
      </c>
    </row>
    <row r="18" spans="1:9" ht="12.75" customHeight="1">
      <c r="A18" s="8" t="s">
        <v>685</v>
      </c>
      <c r="B18" s="22">
        <v>2003</v>
      </c>
      <c r="C18" s="9" t="s">
        <v>18</v>
      </c>
      <c r="D18" s="10" t="s">
        <v>320</v>
      </c>
      <c r="E18" s="10"/>
      <c r="F18" s="42">
        <v>5</v>
      </c>
      <c r="G18" s="79"/>
      <c r="H18" s="120">
        <f>18968/189219*23211.26</f>
        <v>2326.7810298120166</v>
      </c>
      <c r="I18" s="19">
        <f>$H18/$F18</f>
        <v>465.35620596240335</v>
      </c>
    </row>
    <row r="19" spans="1:9" ht="12.75" customHeight="1">
      <c r="A19" s="8" t="s">
        <v>685</v>
      </c>
      <c r="B19" s="22">
        <v>2003</v>
      </c>
      <c r="C19" s="9" t="s">
        <v>9</v>
      </c>
      <c r="D19" s="10" t="s">
        <v>332</v>
      </c>
      <c r="E19" s="10"/>
      <c r="F19" s="42">
        <v>1</v>
      </c>
      <c r="G19" s="79"/>
      <c r="H19" s="120">
        <f>18968/189219*6916.205</f>
        <v>693.3055160422579</v>
      </c>
      <c r="I19" s="19">
        <f>$H19/$F19</f>
        <v>693.3055160422579</v>
      </c>
    </row>
    <row r="20" spans="1:9" ht="12.75" customHeight="1">
      <c r="A20" s="8" t="s">
        <v>685</v>
      </c>
      <c r="B20" s="22">
        <v>2003</v>
      </c>
      <c r="C20" s="9" t="s">
        <v>90</v>
      </c>
      <c r="D20" s="10" t="s">
        <v>392</v>
      </c>
      <c r="E20" s="10"/>
      <c r="F20" s="42">
        <v>1</v>
      </c>
      <c r="G20" s="79"/>
      <c r="H20" s="120">
        <f>18968/189219*3523.567</f>
        <v>353.2151573362083</v>
      </c>
      <c r="I20" s="19">
        <f>$H20/$F20</f>
        <v>353.2151573362083</v>
      </c>
    </row>
    <row r="21" spans="1:9" ht="12.75" customHeight="1">
      <c r="A21" s="8"/>
      <c r="B21" s="22"/>
      <c r="C21" s="8"/>
      <c r="D21" s="8"/>
      <c r="E21" s="8"/>
      <c r="F21" s="18"/>
      <c r="G21" s="79"/>
      <c r="H21" s="130"/>
      <c r="I21" s="18"/>
    </row>
    <row r="22" spans="1:9" ht="12.75" customHeight="1">
      <c r="A22" s="8" t="s">
        <v>186</v>
      </c>
      <c r="B22" s="22">
        <v>2003</v>
      </c>
      <c r="C22" s="3" t="s">
        <v>66</v>
      </c>
      <c r="D22" s="1" t="s">
        <v>400</v>
      </c>
      <c r="E22" s="10"/>
      <c r="F22" s="11">
        <v>5</v>
      </c>
      <c r="G22" s="79"/>
      <c r="H22" s="144">
        <v>933</v>
      </c>
      <c r="I22" s="19">
        <f aca="true" t="shared" si="0" ref="I22:I56">$H22/$F22</f>
        <v>186.6</v>
      </c>
    </row>
    <row r="23" spans="1:9" ht="12.75" customHeight="1">
      <c r="A23" s="8" t="s">
        <v>186</v>
      </c>
      <c r="B23" s="22">
        <v>2003</v>
      </c>
      <c r="C23" s="3" t="s">
        <v>191</v>
      </c>
      <c r="D23" s="1" t="s">
        <v>402</v>
      </c>
      <c r="E23" s="10"/>
      <c r="F23" s="11">
        <v>4</v>
      </c>
      <c r="G23" s="79"/>
      <c r="H23" s="144">
        <v>465</v>
      </c>
      <c r="I23" s="19">
        <f t="shared" si="0"/>
        <v>116.25</v>
      </c>
    </row>
    <row r="24" spans="1:9" ht="12.75" customHeight="1">
      <c r="A24" s="8" t="s">
        <v>186</v>
      </c>
      <c r="B24" s="22">
        <v>2003</v>
      </c>
      <c r="C24" s="3" t="s">
        <v>75</v>
      </c>
      <c r="D24" s="1" t="s">
        <v>450</v>
      </c>
      <c r="E24" s="10"/>
      <c r="F24" s="11">
        <v>4</v>
      </c>
      <c r="G24" s="79"/>
      <c r="H24" s="144">
        <v>495</v>
      </c>
      <c r="I24" s="19">
        <f t="shared" si="0"/>
        <v>123.75</v>
      </c>
    </row>
    <row r="25" spans="1:9" ht="12.75" customHeight="1">
      <c r="A25" s="8" t="s">
        <v>186</v>
      </c>
      <c r="B25" s="22">
        <v>2003</v>
      </c>
      <c r="C25" s="3" t="s">
        <v>189</v>
      </c>
      <c r="D25" s="1" t="s">
        <v>428</v>
      </c>
      <c r="E25" s="10"/>
      <c r="F25" s="11">
        <v>4</v>
      </c>
      <c r="G25" s="79"/>
      <c r="H25" s="144">
        <v>392</v>
      </c>
      <c r="I25" s="19">
        <f t="shared" si="0"/>
        <v>98</v>
      </c>
    </row>
    <row r="26" spans="1:9" ht="12.75" customHeight="1">
      <c r="A26" s="8" t="s">
        <v>186</v>
      </c>
      <c r="B26" s="22">
        <v>2003</v>
      </c>
      <c r="C26" s="3" t="s">
        <v>177</v>
      </c>
      <c r="D26" s="1" t="s">
        <v>333</v>
      </c>
      <c r="E26" s="10"/>
      <c r="F26" s="11">
        <v>3</v>
      </c>
      <c r="G26" s="79"/>
      <c r="H26" s="144">
        <v>1112</v>
      </c>
      <c r="I26" s="19">
        <f t="shared" si="0"/>
        <v>370.6666666666667</v>
      </c>
    </row>
    <row r="27" spans="1:9" ht="12.75" customHeight="1">
      <c r="A27" s="8" t="s">
        <v>186</v>
      </c>
      <c r="B27" s="22">
        <v>2003</v>
      </c>
      <c r="C27" s="3" t="s">
        <v>538</v>
      </c>
      <c r="D27" s="1" t="s">
        <v>550</v>
      </c>
      <c r="E27" s="10"/>
      <c r="F27" s="11">
        <v>3</v>
      </c>
      <c r="G27" s="79"/>
      <c r="H27" s="144">
        <v>320</v>
      </c>
      <c r="I27" s="19">
        <f t="shared" si="0"/>
        <v>106.66666666666667</v>
      </c>
    </row>
    <row r="28" spans="1:9" ht="12.75" customHeight="1">
      <c r="A28" s="8" t="s">
        <v>186</v>
      </c>
      <c r="B28" s="22">
        <v>2003</v>
      </c>
      <c r="C28" s="3" t="s">
        <v>539</v>
      </c>
      <c r="D28" s="1" t="s">
        <v>551</v>
      </c>
      <c r="E28" s="10"/>
      <c r="F28" s="11">
        <v>3</v>
      </c>
      <c r="G28" s="79"/>
      <c r="H28" s="144">
        <v>618</v>
      </c>
      <c r="I28" s="19">
        <f t="shared" si="0"/>
        <v>206</v>
      </c>
    </row>
    <row r="29" spans="1:9" ht="12.75" customHeight="1">
      <c r="A29" s="8" t="s">
        <v>186</v>
      </c>
      <c r="B29" s="22">
        <v>2003</v>
      </c>
      <c r="C29" s="3" t="s">
        <v>543</v>
      </c>
      <c r="D29" s="1" t="s">
        <v>542</v>
      </c>
      <c r="E29" s="10"/>
      <c r="F29" s="11">
        <v>3</v>
      </c>
      <c r="G29" s="79"/>
      <c r="H29" s="144">
        <v>307</v>
      </c>
      <c r="I29" s="19">
        <f t="shared" si="0"/>
        <v>102.33333333333333</v>
      </c>
    </row>
    <row r="30" spans="1:9" ht="12.75" customHeight="1">
      <c r="A30" s="8" t="s">
        <v>186</v>
      </c>
      <c r="B30" s="22">
        <v>2003</v>
      </c>
      <c r="C30" s="3" t="s">
        <v>491</v>
      </c>
      <c r="D30" s="1" t="s">
        <v>549</v>
      </c>
      <c r="E30" s="10"/>
      <c r="F30" s="11">
        <v>3</v>
      </c>
      <c r="G30" s="79"/>
      <c r="H30" s="144">
        <v>993</v>
      </c>
      <c r="I30" s="19">
        <f t="shared" si="0"/>
        <v>331</v>
      </c>
    </row>
    <row r="31" spans="1:9" ht="12.75" customHeight="1">
      <c r="A31" s="8" t="s">
        <v>186</v>
      </c>
      <c r="B31" s="22">
        <v>2003</v>
      </c>
      <c r="C31" s="3" t="s">
        <v>541</v>
      </c>
      <c r="D31" s="1" t="s">
        <v>449</v>
      </c>
      <c r="E31" s="10"/>
      <c r="F31" s="11">
        <v>2</v>
      </c>
      <c r="G31" s="79"/>
      <c r="H31" s="144">
        <v>425</v>
      </c>
      <c r="I31" s="19">
        <f t="shared" si="0"/>
        <v>212.5</v>
      </c>
    </row>
    <row r="32" spans="1:9" ht="12.75" customHeight="1">
      <c r="A32" s="8" t="s">
        <v>186</v>
      </c>
      <c r="B32" s="22">
        <v>2003</v>
      </c>
      <c r="C32" s="31" t="s">
        <v>4</v>
      </c>
      <c r="D32" s="25" t="s">
        <v>394</v>
      </c>
      <c r="E32" s="10"/>
      <c r="F32" s="11">
        <v>2</v>
      </c>
      <c r="G32" s="79"/>
      <c r="H32" s="144">
        <v>305</v>
      </c>
      <c r="I32" s="19">
        <f t="shared" si="0"/>
        <v>152.5</v>
      </c>
    </row>
    <row r="33" spans="1:9" ht="12.75" customHeight="1">
      <c r="A33" s="8" t="s">
        <v>186</v>
      </c>
      <c r="B33" s="22">
        <v>2003</v>
      </c>
      <c r="C33" s="3" t="s">
        <v>190</v>
      </c>
      <c r="D33" s="1" t="s">
        <v>401</v>
      </c>
      <c r="E33" s="10"/>
      <c r="F33" s="11">
        <v>2</v>
      </c>
      <c r="G33" s="79"/>
      <c r="H33" s="144">
        <v>255</v>
      </c>
      <c r="I33" s="19">
        <f t="shared" si="0"/>
        <v>127.5</v>
      </c>
    </row>
    <row r="34" spans="1:9" ht="12.75" customHeight="1">
      <c r="A34" s="8" t="s">
        <v>186</v>
      </c>
      <c r="B34" s="22">
        <v>2003</v>
      </c>
      <c r="C34" s="3" t="s">
        <v>544</v>
      </c>
      <c r="D34" s="1" t="s">
        <v>545</v>
      </c>
      <c r="E34" s="10"/>
      <c r="F34" s="11">
        <v>2</v>
      </c>
      <c r="G34" s="79"/>
      <c r="H34" s="144">
        <v>353</v>
      </c>
      <c r="I34" s="19">
        <f t="shared" si="0"/>
        <v>176.5</v>
      </c>
    </row>
    <row r="35" spans="1:9" ht="12.75" customHeight="1">
      <c r="A35" s="8" t="s">
        <v>186</v>
      </c>
      <c r="B35" s="22">
        <v>2003</v>
      </c>
      <c r="C35" s="3" t="s">
        <v>540</v>
      </c>
      <c r="D35" s="1" t="s">
        <v>546</v>
      </c>
      <c r="E35" s="10"/>
      <c r="F35" s="11">
        <v>2</v>
      </c>
      <c r="G35" s="79"/>
      <c r="H35" s="144">
        <v>315</v>
      </c>
      <c r="I35" s="19">
        <f t="shared" si="0"/>
        <v>157.5</v>
      </c>
    </row>
    <row r="36" spans="1:9" ht="12.75" customHeight="1">
      <c r="A36" s="8" t="s">
        <v>186</v>
      </c>
      <c r="B36" s="22">
        <v>2003</v>
      </c>
      <c r="C36" s="3" t="s">
        <v>548</v>
      </c>
      <c r="D36" s="1" t="s">
        <v>547</v>
      </c>
      <c r="E36" s="10"/>
      <c r="F36" s="11">
        <v>2</v>
      </c>
      <c r="G36" s="79"/>
      <c r="H36" s="144">
        <v>817</v>
      </c>
      <c r="I36" s="19">
        <f t="shared" si="0"/>
        <v>408.5</v>
      </c>
    </row>
    <row r="37" spans="1:9" ht="12.75" customHeight="1">
      <c r="A37" s="8" t="s">
        <v>186</v>
      </c>
      <c r="B37" s="22">
        <v>2003</v>
      </c>
      <c r="C37" s="3" t="s">
        <v>7</v>
      </c>
      <c r="D37" s="1" t="s">
        <v>377</v>
      </c>
      <c r="E37" s="10"/>
      <c r="F37" s="11">
        <v>1</v>
      </c>
      <c r="G37" s="79"/>
      <c r="H37" s="144">
        <v>265</v>
      </c>
      <c r="I37" s="19">
        <f t="shared" si="0"/>
        <v>265</v>
      </c>
    </row>
    <row r="38" spans="1:9" ht="12.75" customHeight="1">
      <c r="A38" s="8" t="s">
        <v>186</v>
      </c>
      <c r="B38" s="22">
        <v>2003</v>
      </c>
      <c r="C38" s="31"/>
      <c r="D38" s="75" t="s">
        <v>482</v>
      </c>
      <c r="E38" s="10"/>
      <c r="F38" s="42">
        <v>8</v>
      </c>
      <c r="G38" s="79"/>
      <c r="H38" s="120">
        <v>1372</v>
      </c>
      <c r="I38" s="19">
        <f t="shared" si="0"/>
        <v>171.5</v>
      </c>
    </row>
    <row r="39" spans="1:9" ht="12.75" customHeight="1">
      <c r="A39" s="8"/>
      <c r="B39" s="22"/>
      <c r="C39" s="8"/>
      <c r="D39" s="8"/>
      <c r="E39" s="8"/>
      <c r="F39" s="18"/>
      <c r="G39" s="79"/>
      <c r="H39" s="130"/>
      <c r="I39" s="18"/>
    </row>
    <row r="40" spans="1:9" ht="12.75" customHeight="1">
      <c r="A40" s="8" t="s">
        <v>186</v>
      </c>
      <c r="B40" s="22">
        <v>2004</v>
      </c>
      <c r="C40" s="3" t="s">
        <v>177</v>
      </c>
      <c r="D40" s="1" t="s">
        <v>333</v>
      </c>
      <c r="E40" s="10"/>
      <c r="F40" s="11">
        <v>5</v>
      </c>
      <c r="G40" s="79"/>
      <c r="H40" s="144">
        <v>1620</v>
      </c>
      <c r="I40" s="19">
        <f aca="true" t="shared" si="1" ref="I40:I51">$H40/$F40</f>
        <v>324</v>
      </c>
    </row>
    <row r="41" spans="1:9" s="24" customFormat="1" ht="12.75" customHeight="1">
      <c r="A41" s="8" t="s">
        <v>186</v>
      </c>
      <c r="B41" s="22">
        <v>2004</v>
      </c>
      <c r="C41" s="3" t="s">
        <v>491</v>
      </c>
      <c r="D41" s="1" t="s">
        <v>549</v>
      </c>
      <c r="E41" s="10"/>
      <c r="F41" s="11">
        <v>5</v>
      </c>
      <c r="G41" s="79"/>
      <c r="H41" s="144">
        <v>1475</v>
      </c>
      <c r="I41" s="19">
        <f t="shared" si="1"/>
        <v>295</v>
      </c>
    </row>
    <row r="42" spans="1:9" s="24" customFormat="1" ht="12.75" customHeight="1">
      <c r="A42" s="8" t="s">
        <v>186</v>
      </c>
      <c r="B42" s="22">
        <v>2004</v>
      </c>
      <c r="C42" s="3" t="s">
        <v>66</v>
      </c>
      <c r="D42" s="1" t="s">
        <v>400</v>
      </c>
      <c r="E42" s="10"/>
      <c r="F42" s="11">
        <v>4</v>
      </c>
      <c r="G42" s="79"/>
      <c r="H42" s="144">
        <v>820</v>
      </c>
      <c r="I42" s="19">
        <f t="shared" si="1"/>
        <v>205</v>
      </c>
    </row>
    <row r="43" spans="1:9" s="24" customFormat="1" ht="12.75" customHeight="1">
      <c r="A43" s="8" t="s">
        <v>186</v>
      </c>
      <c r="B43" s="22">
        <v>2004</v>
      </c>
      <c r="C43" s="3" t="s">
        <v>75</v>
      </c>
      <c r="D43" s="1" t="s">
        <v>450</v>
      </c>
      <c r="E43" s="10"/>
      <c r="F43" s="11">
        <v>4</v>
      </c>
      <c r="G43" s="79"/>
      <c r="H43" s="144">
        <v>537</v>
      </c>
      <c r="I43" s="19">
        <f t="shared" si="1"/>
        <v>134.25</v>
      </c>
    </row>
    <row r="44" spans="1:9" s="24" customFormat="1" ht="12.75" customHeight="1">
      <c r="A44" s="8" t="s">
        <v>186</v>
      </c>
      <c r="B44" s="22">
        <v>2004</v>
      </c>
      <c r="C44" s="3" t="s">
        <v>544</v>
      </c>
      <c r="D44" s="1" t="s">
        <v>545</v>
      </c>
      <c r="E44" s="10"/>
      <c r="F44" s="11">
        <v>4</v>
      </c>
      <c r="G44" s="79"/>
      <c r="H44" s="144">
        <v>645</v>
      </c>
      <c r="I44" s="19">
        <f t="shared" si="1"/>
        <v>161.25</v>
      </c>
    </row>
    <row r="45" spans="1:9" s="24" customFormat="1" ht="12.75" customHeight="1">
      <c r="A45" s="8" t="s">
        <v>186</v>
      </c>
      <c r="B45" s="22">
        <v>2004</v>
      </c>
      <c r="C45" s="3" t="s">
        <v>548</v>
      </c>
      <c r="D45" s="1" t="s">
        <v>547</v>
      </c>
      <c r="E45" s="10"/>
      <c r="F45" s="11">
        <v>4</v>
      </c>
      <c r="G45" s="79"/>
      <c r="H45" s="144">
        <v>1533</v>
      </c>
      <c r="I45" s="19">
        <f t="shared" si="1"/>
        <v>383.25</v>
      </c>
    </row>
    <row r="46" spans="1:9" s="24" customFormat="1" ht="12.75" customHeight="1">
      <c r="A46" s="8" t="s">
        <v>186</v>
      </c>
      <c r="B46" s="22">
        <v>2004</v>
      </c>
      <c r="C46" s="3" t="s">
        <v>539</v>
      </c>
      <c r="D46" s="1" t="s">
        <v>551</v>
      </c>
      <c r="E46" s="10"/>
      <c r="F46" s="11">
        <v>3</v>
      </c>
      <c r="G46" s="79"/>
      <c r="H46" s="144">
        <v>495</v>
      </c>
      <c r="I46" s="19">
        <f t="shared" si="1"/>
        <v>165</v>
      </c>
    </row>
    <row r="47" spans="1:9" s="24" customFormat="1" ht="12.75" customHeight="1">
      <c r="A47" s="8" t="s">
        <v>186</v>
      </c>
      <c r="B47" s="22">
        <v>2004</v>
      </c>
      <c r="C47" s="3" t="s">
        <v>541</v>
      </c>
      <c r="D47" s="1" t="s">
        <v>449</v>
      </c>
      <c r="E47" s="10"/>
      <c r="F47" s="11">
        <v>3</v>
      </c>
      <c r="G47" s="79"/>
      <c r="H47" s="144">
        <v>657</v>
      </c>
      <c r="I47" s="19">
        <f t="shared" si="1"/>
        <v>219</v>
      </c>
    </row>
    <row r="48" spans="1:9" s="24" customFormat="1" ht="12.75" customHeight="1">
      <c r="A48" s="8" t="s">
        <v>186</v>
      </c>
      <c r="B48" s="22">
        <v>2004</v>
      </c>
      <c r="C48" s="3" t="s">
        <v>190</v>
      </c>
      <c r="D48" s="1" t="s">
        <v>401</v>
      </c>
      <c r="E48" s="10"/>
      <c r="F48" s="11">
        <v>2</v>
      </c>
      <c r="G48" s="79"/>
      <c r="H48" s="144">
        <v>320</v>
      </c>
      <c r="I48" s="19">
        <f t="shared" si="1"/>
        <v>160</v>
      </c>
    </row>
    <row r="49" spans="1:9" s="24" customFormat="1" ht="12.75" customHeight="1">
      <c r="A49" s="8" t="s">
        <v>186</v>
      </c>
      <c r="B49" s="22">
        <v>2004</v>
      </c>
      <c r="C49" s="3" t="s">
        <v>540</v>
      </c>
      <c r="D49" s="1" t="s">
        <v>546</v>
      </c>
      <c r="E49" s="10"/>
      <c r="F49" s="11">
        <v>2</v>
      </c>
      <c r="G49" s="79"/>
      <c r="H49" s="144">
        <v>317</v>
      </c>
      <c r="I49" s="19">
        <f t="shared" si="1"/>
        <v>158.5</v>
      </c>
    </row>
    <row r="50" spans="1:9" s="24" customFormat="1" ht="12.75" customHeight="1">
      <c r="A50" s="8" t="s">
        <v>186</v>
      </c>
      <c r="B50" s="22">
        <v>2004</v>
      </c>
      <c r="C50" s="3" t="s">
        <v>191</v>
      </c>
      <c r="D50" s="1" t="s">
        <v>402</v>
      </c>
      <c r="E50" s="10"/>
      <c r="F50" s="11">
        <v>1</v>
      </c>
      <c r="G50" s="79"/>
      <c r="H50" s="144">
        <v>155</v>
      </c>
      <c r="I50" s="19">
        <f t="shared" si="1"/>
        <v>155</v>
      </c>
    </row>
    <row r="51" spans="1:9" s="24" customFormat="1" ht="12.75" customHeight="1">
      <c r="A51" s="8" t="s">
        <v>186</v>
      </c>
      <c r="B51" s="22">
        <v>2004</v>
      </c>
      <c r="C51" s="3" t="s">
        <v>189</v>
      </c>
      <c r="D51" s="1" t="s">
        <v>428</v>
      </c>
      <c r="E51" s="10"/>
      <c r="F51" s="11">
        <v>1</v>
      </c>
      <c r="G51" s="79"/>
      <c r="H51" s="144">
        <v>98</v>
      </c>
      <c r="I51" s="19">
        <f t="shared" si="1"/>
        <v>98</v>
      </c>
    </row>
    <row r="52" spans="1:9" s="24" customFormat="1" ht="12.75" customHeight="1">
      <c r="A52" s="8" t="s">
        <v>186</v>
      </c>
      <c r="B52" s="22">
        <v>2004</v>
      </c>
      <c r="C52" s="3" t="s">
        <v>538</v>
      </c>
      <c r="D52" s="1" t="s">
        <v>550</v>
      </c>
      <c r="E52" s="10"/>
      <c r="F52" s="11">
        <v>0</v>
      </c>
      <c r="G52" s="79" t="s">
        <v>10</v>
      </c>
      <c r="H52" s="144">
        <v>3</v>
      </c>
      <c r="I52" s="69" t="s">
        <v>71</v>
      </c>
    </row>
    <row r="53" spans="1:9" s="24" customFormat="1" ht="12.75" customHeight="1">
      <c r="A53" s="8" t="s">
        <v>186</v>
      </c>
      <c r="B53" s="22">
        <v>2004</v>
      </c>
      <c r="C53" s="3" t="s">
        <v>543</v>
      </c>
      <c r="D53" s="1" t="s">
        <v>542</v>
      </c>
      <c r="E53" s="10"/>
      <c r="F53" s="11">
        <v>0</v>
      </c>
      <c r="G53" s="79" t="s">
        <v>10</v>
      </c>
      <c r="H53" s="144">
        <v>0</v>
      </c>
      <c r="I53" s="69" t="s">
        <v>71</v>
      </c>
    </row>
    <row r="54" spans="1:9" s="24" customFormat="1" ht="12.75" customHeight="1">
      <c r="A54" s="8" t="s">
        <v>186</v>
      </c>
      <c r="B54" s="22">
        <v>2004</v>
      </c>
      <c r="C54" s="3" t="s">
        <v>4</v>
      </c>
      <c r="D54" s="1" t="s">
        <v>394</v>
      </c>
      <c r="E54" s="10"/>
      <c r="F54" s="11">
        <v>0</v>
      </c>
      <c r="G54" s="79" t="s">
        <v>10</v>
      </c>
      <c r="H54" s="144">
        <v>0</v>
      </c>
      <c r="I54" s="69" t="s">
        <v>71</v>
      </c>
    </row>
    <row r="55" spans="1:9" s="24" customFormat="1" ht="12.75" customHeight="1">
      <c r="A55" s="8" t="s">
        <v>186</v>
      </c>
      <c r="B55" s="22">
        <v>2004</v>
      </c>
      <c r="C55" s="3" t="s">
        <v>7</v>
      </c>
      <c r="D55" s="1" t="s">
        <v>377</v>
      </c>
      <c r="E55" s="10"/>
      <c r="F55" s="11">
        <v>0</v>
      </c>
      <c r="G55" s="79" t="s">
        <v>10</v>
      </c>
      <c r="H55" s="144">
        <v>75</v>
      </c>
      <c r="I55" s="69" t="s">
        <v>71</v>
      </c>
    </row>
    <row r="56" spans="1:9" s="24" customFormat="1" ht="12.75" customHeight="1">
      <c r="A56" s="8" t="s">
        <v>186</v>
      </c>
      <c r="B56" s="22">
        <v>2004</v>
      </c>
      <c r="C56" s="31"/>
      <c r="D56" s="75" t="s">
        <v>482</v>
      </c>
      <c r="E56" s="10"/>
      <c r="F56" s="42">
        <v>13</v>
      </c>
      <c r="G56" s="79"/>
      <c r="H56" s="120">
        <v>1967</v>
      </c>
      <c r="I56" s="19">
        <f t="shared" si="0"/>
        <v>151.30769230769232</v>
      </c>
    </row>
    <row r="57" spans="1:9" s="24" customFormat="1" ht="12.75" customHeight="1">
      <c r="A57" s="165"/>
      <c r="B57" s="166"/>
      <c r="C57" s="158"/>
      <c r="D57" s="180"/>
      <c r="E57" s="165"/>
      <c r="F57" s="172"/>
      <c r="G57" s="173"/>
      <c r="H57" s="197"/>
      <c r="I57" s="172"/>
    </row>
    <row r="58" spans="1:9" s="24" customFormat="1" ht="3" customHeight="1">
      <c r="A58" s="165"/>
      <c r="B58" s="166"/>
      <c r="C58" s="158"/>
      <c r="D58" s="180"/>
      <c r="E58" s="165"/>
      <c r="F58" s="172"/>
      <c r="G58" s="173"/>
      <c r="H58" s="197"/>
      <c r="I58" s="172"/>
    </row>
    <row r="59" spans="1:9" s="24" customFormat="1" ht="12.75" customHeight="1">
      <c r="A59" s="1" t="s">
        <v>192</v>
      </c>
      <c r="B59" s="5">
        <v>2003</v>
      </c>
      <c r="C59" s="28" t="s">
        <v>6</v>
      </c>
      <c r="D59" s="27" t="s">
        <v>323</v>
      </c>
      <c r="E59" s="27"/>
      <c r="F59" s="90">
        <v>31.243</v>
      </c>
      <c r="G59" s="88"/>
      <c r="H59" s="128">
        <f>16231.198</f>
        <v>16231.198</v>
      </c>
      <c r="I59" s="19">
        <f aca="true" t="shared" si="2" ref="I59:I64">$H59/$F59</f>
        <v>519.514707294434</v>
      </c>
    </row>
    <row r="60" spans="1:9" s="24" customFormat="1" ht="12.75" customHeight="1">
      <c r="A60" s="1" t="s">
        <v>192</v>
      </c>
      <c r="B60" s="5">
        <v>2003</v>
      </c>
      <c r="C60" s="3" t="s">
        <v>66</v>
      </c>
      <c r="D60" s="11" t="s">
        <v>400</v>
      </c>
      <c r="E60" s="27"/>
      <c r="F60" s="90">
        <v>3.144</v>
      </c>
      <c r="G60" s="88"/>
      <c r="H60" s="128">
        <f>852.848</f>
        <v>852.848</v>
      </c>
      <c r="I60" s="19">
        <f t="shared" si="2"/>
        <v>271.26208651399486</v>
      </c>
    </row>
    <row r="61" spans="1:9" s="24" customFormat="1" ht="12.75" customHeight="1">
      <c r="A61" s="1" t="s">
        <v>192</v>
      </c>
      <c r="B61" s="5">
        <v>2003</v>
      </c>
      <c r="C61" s="3" t="s">
        <v>190</v>
      </c>
      <c r="D61" s="11" t="s">
        <v>401</v>
      </c>
      <c r="E61" s="27"/>
      <c r="F61" s="90">
        <v>1.53</v>
      </c>
      <c r="G61" s="88"/>
      <c r="H61" s="128">
        <f>687.787</f>
        <v>687.787</v>
      </c>
      <c r="I61" s="19">
        <f t="shared" si="2"/>
        <v>449.5339869281046</v>
      </c>
    </row>
    <row r="62" spans="1:9" s="24" customFormat="1" ht="12.75" customHeight="1">
      <c r="A62" s="1" t="s">
        <v>192</v>
      </c>
      <c r="B62" s="5">
        <v>2003</v>
      </c>
      <c r="C62" s="31" t="s">
        <v>75</v>
      </c>
      <c r="D62" s="27" t="s">
        <v>450</v>
      </c>
      <c r="E62" s="27"/>
      <c r="F62" s="90">
        <v>0.797</v>
      </c>
      <c r="G62" s="88"/>
      <c r="H62" s="128">
        <f>547.606</f>
        <v>547.606</v>
      </c>
      <c r="I62" s="19">
        <f t="shared" si="2"/>
        <v>687.0840652446675</v>
      </c>
    </row>
    <row r="63" spans="1:9" s="24" customFormat="1" ht="12.75" customHeight="1">
      <c r="A63" s="1" t="s">
        <v>192</v>
      </c>
      <c r="B63" s="5">
        <v>2003</v>
      </c>
      <c r="C63" s="20" t="s">
        <v>76</v>
      </c>
      <c r="D63" s="27" t="s">
        <v>451</v>
      </c>
      <c r="E63" s="27"/>
      <c r="F63" s="90">
        <v>0.405</v>
      </c>
      <c r="G63" s="88" t="s">
        <v>10</v>
      </c>
      <c r="H63" s="128">
        <f>142.138</f>
        <v>142.138</v>
      </c>
      <c r="I63" s="19">
        <f t="shared" si="2"/>
        <v>350.958024691358</v>
      </c>
    </row>
    <row r="64" spans="1:9" s="24" customFormat="1" ht="12.75" customHeight="1">
      <c r="A64" s="1" t="s">
        <v>192</v>
      </c>
      <c r="B64" s="5">
        <v>2003</v>
      </c>
      <c r="D64" s="24" t="s">
        <v>482</v>
      </c>
      <c r="F64" s="26">
        <v>86.912</v>
      </c>
      <c r="G64" s="88"/>
      <c r="H64" s="128">
        <f>8662.423</f>
        <v>8662.423</v>
      </c>
      <c r="I64" s="19">
        <f t="shared" si="2"/>
        <v>99.6688949742268</v>
      </c>
    </row>
    <row r="65" spans="3:9" ht="12.75" customHeight="1">
      <c r="C65" s="24"/>
      <c r="D65" s="24"/>
      <c r="E65" s="24"/>
      <c r="F65" s="26"/>
      <c r="G65" s="88"/>
      <c r="H65" s="128"/>
      <c r="I65" s="19"/>
    </row>
    <row r="66" spans="1:9" ht="12.75" customHeight="1">
      <c r="A66" s="1" t="s">
        <v>192</v>
      </c>
      <c r="B66" s="5">
        <v>2004</v>
      </c>
      <c r="C66" s="3" t="s">
        <v>66</v>
      </c>
      <c r="D66" s="11" t="s">
        <v>400</v>
      </c>
      <c r="E66" s="27"/>
      <c r="F66" s="90">
        <v>2.382</v>
      </c>
      <c r="G66" s="88"/>
      <c r="H66" s="128">
        <v>1844.1696997804195</v>
      </c>
      <c r="I66" s="19">
        <f aca="true" t="shared" si="3" ref="I66:I71">$H66/$F66</f>
        <v>774.210621234433</v>
      </c>
    </row>
    <row r="67" spans="1:9" ht="12.75" customHeight="1">
      <c r="A67" s="1" t="s">
        <v>192</v>
      </c>
      <c r="B67" s="5">
        <v>2004</v>
      </c>
      <c r="C67" s="31" t="s">
        <v>75</v>
      </c>
      <c r="D67" s="27" t="s">
        <v>450</v>
      </c>
      <c r="E67" s="27"/>
      <c r="F67" s="90">
        <v>1.903</v>
      </c>
      <c r="G67" s="88"/>
      <c r="H67" s="128">
        <v>1480.1816593473159</v>
      </c>
      <c r="I67" s="19">
        <f t="shared" si="3"/>
        <v>777.8148498934924</v>
      </c>
    </row>
    <row r="68" spans="1:9" ht="12.75" customHeight="1">
      <c r="A68" s="1" t="s">
        <v>192</v>
      </c>
      <c r="B68" s="5">
        <v>2004</v>
      </c>
      <c r="C68" s="3" t="s">
        <v>526</v>
      </c>
      <c r="D68" s="11" t="s">
        <v>525</v>
      </c>
      <c r="E68" s="27"/>
      <c r="F68" s="90">
        <v>1.19</v>
      </c>
      <c r="G68" s="88"/>
      <c r="H68" s="128">
        <v>253.0073710910881</v>
      </c>
      <c r="I68" s="19">
        <f t="shared" si="3"/>
        <v>212.6112362109984</v>
      </c>
    </row>
    <row r="69" spans="1:9" ht="12.75" customHeight="1">
      <c r="A69" s="1" t="s">
        <v>192</v>
      </c>
      <c r="B69" s="5">
        <v>2004</v>
      </c>
      <c r="C69" s="28" t="s">
        <v>6</v>
      </c>
      <c r="D69" s="27" t="s">
        <v>323</v>
      </c>
      <c r="E69" s="27"/>
      <c r="F69" s="90">
        <v>1.184</v>
      </c>
      <c r="G69" s="88"/>
      <c r="H69" s="128">
        <v>983.6568032104188</v>
      </c>
      <c r="I69" s="19">
        <f t="shared" si="3"/>
        <v>830.7912189277187</v>
      </c>
    </row>
    <row r="70" spans="1:9" ht="12.75" customHeight="1">
      <c r="A70" s="1" t="s">
        <v>192</v>
      </c>
      <c r="B70" s="5">
        <v>2004</v>
      </c>
      <c r="C70" s="20" t="s">
        <v>76</v>
      </c>
      <c r="D70" s="27" t="s">
        <v>451</v>
      </c>
      <c r="E70" s="27"/>
      <c r="F70" s="90">
        <v>0.9</v>
      </c>
      <c r="G70" s="88"/>
      <c r="H70" s="128">
        <v>287.7600022715227</v>
      </c>
      <c r="I70" s="19">
        <f t="shared" si="3"/>
        <v>319.7333358572474</v>
      </c>
    </row>
    <row r="71" spans="1:9" ht="12.75" customHeight="1">
      <c r="A71" s="1" t="s">
        <v>192</v>
      </c>
      <c r="B71" s="5">
        <v>2004</v>
      </c>
      <c r="C71" s="24"/>
      <c r="D71" s="24" t="s">
        <v>482</v>
      </c>
      <c r="E71" s="24"/>
      <c r="F71" s="26">
        <v>83.266</v>
      </c>
      <c r="G71" s="88"/>
      <c r="H71" s="128">
        <v>24574.923222533507</v>
      </c>
      <c r="I71" s="19">
        <f t="shared" si="3"/>
        <v>295.1375498106491</v>
      </c>
    </row>
    <row r="72" spans="3:9" ht="12.75" customHeight="1">
      <c r="C72" s="24"/>
      <c r="D72" s="24"/>
      <c r="E72" s="24"/>
      <c r="F72" s="26"/>
      <c r="G72" s="88"/>
      <c r="H72" s="128"/>
      <c r="I72" s="26"/>
    </row>
    <row r="73" spans="1:9" ht="12.75" customHeight="1">
      <c r="A73" s="1" t="s">
        <v>21</v>
      </c>
      <c r="B73" s="5">
        <v>2003</v>
      </c>
      <c r="C73" s="31" t="s">
        <v>4</v>
      </c>
      <c r="D73" s="27" t="s">
        <v>452</v>
      </c>
      <c r="E73" s="34"/>
      <c r="F73" s="35">
        <v>79.717</v>
      </c>
      <c r="H73" s="138">
        <v>26556.795</v>
      </c>
      <c r="I73" s="14">
        <f aca="true" t="shared" si="4" ref="I73:I81">$H73/$F73</f>
        <v>333.13841464179535</v>
      </c>
    </row>
    <row r="74" spans="1:9" ht="12.75" customHeight="1">
      <c r="A74" s="1" t="s">
        <v>21</v>
      </c>
      <c r="B74" s="5">
        <v>2003</v>
      </c>
      <c r="C74" s="31" t="s">
        <v>7</v>
      </c>
      <c r="D74" s="27" t="s">
        <v>442</v>
      </c>
      <c r="E74" s="34"/>
      <c r="F74" s="35">
        <v>28</v>
      </c>
      <c r="H74" s="138">
        <v>7893</v>
      </c>
      <c r="I74" s="14">
        <f t="shared" si="4"/>
        <v>281.89285714285717</v>
      </c>
    </row>
    <row r="75" spans="1:9" ht="12.75" customHeight="1">
      <c r="A75" s="1" t="s">
        <v>21</v>
      </c>
      <c r="B75" s="5">
        <v>2003</v>
      </c>
      <c r="C75" s="31" t="s">
        <v>5</v>
      </c>
      <c r="D75" s="27" t="s">
        <v>362</v>
      </c>
      <c r="E75" s="34"/>
      <c r="F75" s="35">
        <v>18.656</v>
      </c>
      <c r="H75" s="138">
        <v>10375.75</v>
      </c>
      <c r="I75" s="14">
        <f t="shared" si="4"/>
        <v>556.1615566037736</v>
      </c>
    </row>
    <row r="76" spans="1:9" ht="12.75" customHeight="1">
      <c r="A76" s="1" t="s">
        <v>21</v>
      </c>
      <c r="B76" s="5">
        <v>2003</v>
      </c>
      <c r="C76" s="31" t="s">
        <v>8</v>
      </c>
      <c r="D76" s="27" t="s">
        <v>327</v>
      </c>
      <c r="E76" s="34"/>
      <c r="F76" s="35">
        <v>11.139</v>
      </c>
      <c r="H76" s="138">
        <v>7953.062</v>
      </c>
      <c r="I76" s="14">
        <f t="shared" si="4"/>
        <v>713.9834814615316</v>
      </c>
    </row>
    <row r="77" spans="1:9" ht="12.75" customHeight="1">
      <c r="A77" s="1" t="s">
        <v>21</v>
      </c>
      <c r="B77" s="5">
        <v>2003</v>
      </c>
      <c r="C77" s="31" t="s">
        <v>18</v>
      </c>
      <c r="D77" s="27" t="s">
        <v>453</v>
      </c>
      <c r="E77" s="34"/>
      <c r="F77" s="35">
        <v>7.834</v>
      </c>
      <c r="H77" s="138">
        <v>5903.094</v>
      </c>
      <c r="I77" s="14">
        <f t="shared" si="4"/>
        <v>753.522338524381</v>
      </c>
    </row>
    <row r="78" spans="1:9" ht="12.75" customHeight="1">
      <c r="A78" s="1" t="s">
        <v>21</v>
      </c>
      <c r="B78" s="5">
        <v>2003</v>
      </c>
      <c r="C78" s="305" t="s">
        <v>491</v>
      </c>
      <c r="D78" s="275" t="s">
        <v>490</v>
      </c>
      <c r="E78" s="34"/>
      <c r="F78" s="35">
        <v>5.75</v>
      </c>
      <c r="H78" s="138">
        <v>3922.434</v>
      </c>
      <c r="I78" s="14">
        <f t="shared" si="4"/>
        <v>682.1624347826088</v>
      </c>
    </row>
    <row r="79" spans="1:9" ht="12.75" customHeight="1">
      <c r="A79" s="1" t="s">
        <v>21</v>
      </c>
      <c r="B79" s="5">
        <v>2003</v>
      </c>
      <c r="C79" s="31" t="s">
        <v>20</v>
      </c>
      <c r="D79" s="275" t="s">
        <v>432</v>
      </c>
      <c r="E79" s="34"/>
      <c r="F79" s="35">
        <v>4.34</v>
      </c>
      <c r="H79" s="138">
        <v>2843.779</v>
      </c>
      <c r="I79" s="14">
        <f t="shared" si="4"/>
        <v>655.2486175115207</v>
      </c>
    </row>
    <row r="80" spans="1:9" ht="12.75" customHeight="1">
      <c r="A80" s="1" t="s">
        <v>21</v>
      </c>
      <c r="B80" s="5">
        <v>2003</v>
      </c>
      <c r="C80" s="305" t="s">
        <v>552</v>
      </c>
      <c r="D80" s="275" t="s">
        <v>489</v>
      </c>
      <c r="E80" s="34"/>
      <c r="F80" s="35">
        <v>3.518</v>
      </c>
      <c r="H80" s="138">
        <v>1071.615</v>
      </c>
      <c r="I80" s="14">
        <f t="shared" si="4"/>
        <v>304.6091529277999</v>
      </c>
    </row>
    <row r="81" spans="1:9" ht="12.75" customHeight="1">
      <c r="A81" s="1" t="s">
        <v>21</v>
      </c>
      <c r="B81" s="5">
        <v>2003</v>
      </c>
      <c r="C81" s="24"/>
      <c r="D81" s="24" t="s">
        <v>483</v>
      </c>
      <c r="E81" s="92"/>
      <c r="F81" s="14">
        <v>38.961</v>
      </c>
      <c r="H81" s="138">
        <v>18333.962</v>
      </c>
      <c r="I81" s="14">
        <f t="shared" si="4"/>
        <v>470.57216190549525</v>
      </c>
    </row>
    <row r="82" spans="3:6" ht="12.75" customHeight="1">
      <c r="C82" s="24"/>
      <c r="D82" s="24"/>
      <c r="E82" s="92"/>
      <c r="F82" s="14"/>
    </row>
    <row r="83" spans="1:9" ht="12.75" customHeight="1">
      <c r="A83" s="1" t="s">
        <v>21</v>
      </c>
      <c r="B83" s="5">
        <v>2004</v>
      </c>
      <c r="C83" s="31" t="s">
        <v>4</v>
      </c>
      <c r="D83" s="27" t="s">
        <v>452</v>
      </c>
      <c r="E83" s="34"/>
      <c r="F83" s="35">
        <v>72.238</v>
      </c>
      <c r="H83" s="138">
        <v>24900.91</v>
      </c>
      <c r="I83" s="14">
        <f aca="true" t="shared" si="5" ref="I83:I91">$H83/$F83</f>
        <v>344.7065256513192</v>
      </c>
    </row>
    <row r="84" spans="1:9" ht="12.75" customHeight="1">
      <c r="A84" s="1" t="s">
        <v>21</v>
      </c>
      <c r="B84" s="5">
        <v>2004</v>
      </c>
      <c r="C84" s="31" t="s">
        <v>5</v>
      </c>
      <c r="D84" s="27" t="s">
        <v>362</v>
      </c>
      <c r="E84" s="34"/>
      <c r="F84" s="35">
        <v>33.304</v>
      </c>
      <c r="H84" s="138">
        <v>13977.854</v>
      </c>
      <c r="I84" s="14">
        <f t="shared" si="5"/>
        <v>419.7049603651213</v>
      </c>
    </row>
    <row r="85" spans="1:9" ht="12.75" customHeight="1">
      <c r="A85" s="1" t="s">
        <v>21</v>
      </c>
      <c r="B85" s="5">
        <v>2004</v>
      </c>
      <c r="C85" s="31" t="s">
        <v>7</v>
      </c>
      <c r="D85" s="27" t="s">
        <v>442</v>
      </c>
      <c r="E85" s="34"/>
      <c r="F85" s="35">
        <v>30.481</v>
      </c>
      <c r="H85" s="138">
        <v>9089.891</v>
      </c>
      <c r="I85" s="14">
        <f t="shared" si="5"/>
        <v>298.2149863849611</v>
      </c>
    </row>
    <row r="86" spans="1:9" ht="12.75" customHeight="1">
      <c r="A86" s="1" t="s">
        <v>21</v>
      </c>
      <c r="B86" s="5">
        <v>2004</v>
      </c>
      <c r="C86" s="31" t="s">
        <v>8</v>
      </c>
      <c r="D86" s="27" t="s">
        <v>327</v>
      </c>
      <c r="E86" s="34"/>
      <c r="F86" s="35">
        <v>14.446</v>
      </c>
      <c r="H86" s="138">
        <v>7609.994</v>
      </c>
      <c r="I86" s="14">
        <f t="shared" si="5"/>
        <v>526.7890073376714</v>
      </c>
    </row>
    <row r="87" spans="1:9" ht="12.75" customHeight="1">
      <c r="A87" s="1" t="s">
        <v>21</v>
      </c>
      <c r="B87" s="5">
        <v>2004</v>
      </c>
      <c r="C87" s="31" t="s">
        <v>18</v>
      </c>
      <c r="D87" s="27" t="s">
        <v>453</v>
      </c>
      <c r="E87" s="34"/>
      <c r="F87" s="35">
        <v>7.766</v>
      </c>
      <c r="H87" s="138">
        <v>6657.647</v>
      </c>
      <c r="I87" s="14">
        <f t="shared" si="5"/>
        <v>857.2813546227144</v>
      </c>
    </row>
    <row r="88" spans="1:9" ht="12.75" customHeight="1">
      <c r="A88" s="1" t="s">
        <v>21</v>
      </c>
      <c r="B88" s="5">
        <v>2004</v>
      </c>
      <c r="C88" s="305" t="s">
        <v>491</v>
      </c>
      <c r="D88" s="275" t="s">
        <v>490</v>
      </c>
      <c r="E88" s="34"/>
      <c r="F88" s="35">
        <v>6.993</v>
      </c>
      <c r="H88" s="138">
        <v>4632.519</v>
      </c>
      <c r="I88" s="14">
        <f t="shared" si="5"/>
        <v>662.4508794508795</v>
      </c>
    </row>
    <row r="89" spans="1:9" ht="12.75" customHeight="1">
      <c r="A89" s="1" t="s">
        <v>21</v>
      </c>
      <c r="B89" s="5">
        <v>2004</v>
      </c>
      <c r="C89" s="31" t="s">
        <v>20</v>
      </c>
      <c r="D89" s="275" t="s">
        <v>432</v>
      </c>
      <c r="E89" s="34"/>
      <c r="F89" s="35">
        <v>4.969</v>
      </c>
      <c r="H89" s="138">
        <v>2784.917</v>
      </c>
      <c r="I89" s="14">
        <f t="shared" si="5"/>
        <v>560.4582410947876</v>
      </c>
    </row>
    <row r="90" spans="1:9" ht="12.75" customHeight="1">
      <c r="A90" s="1" t="s">
        <v>21</v>
      </c>
      <c r="B90" s="5">
        <v>2004</v>
      </c>
      <c r="C90" s="305" t="s">
        <v>552</v>
      </c>
      <c r="D90" s="275" t="s">
        <v>489</v>
      </c>
      <c r="E90" s="34"/>
      <c r="F90" s="35">
        <v>4.025</v>
      </c>
      <c r="H90" s="138">
        <v>1259.376</v>
      </c>
      <c r="I90" s="14">
        <f t="shared" si="5"/>
        <v>312.8884472049689</v>
      </c>
    </row>
    <row r="91" spans="1:9" s="24" customFormat="1" ht="12.75" customHeight="1">
      <c r="A91" s="1" t="s">
        <v>21</v>
      </c>
      <c r="B91" s="5">
        <v>2004</v>
      </c>
      <c r="D91" s="24" t="s">
        <v>488</v>
      </c>
      <c r="E91" s="92"/>
      <c r="F91" s="14">
        <v>35.603</v>
      </c>
      <c r="G91" s="86"/>
      <c r="H91" s="138">
        <v>20132.66</v>
      </c>
      <c r="I91" s="14">
        <f t="shared" si="5"/>
        <v>565.4765047889223</v>
      </c>
    </row>
    <row r="92" spans="1:9" s="24" customFormat="1" ht="12.75" customHeight="1">
      <c r="A92" s="1"/>
      <c r="B92" s="5"/>
      <c r="E92" s="92"/>
      <c r="F92" s="14"/>
      <c r="G92" s="86"/>
      <c r="H92" s="138"/>
      <c r="I92" s="14"/>
    </row>
    <row r="93" spans="1:9" s="24" customFormat="1" ht="12.75" customHeight="1">
      <c r="A93" s="1" t="s">
        <v>504</v>
      </c>
      <c r="B93" s="5">
        <v>2003</v>
      </c>
      <c r="C93" s="31" t="s">
        <v>5</v>
      </c>
      <c r="D93" s="27" t="s">
        <v>362</v>
      </c>
      <c r="E93" s="34"/>
      <c r="F93" s="35">
        <v>3</v>
      </c>
      <c r="G93" s="86"/>
      <c r="H93" s="138">
        <f>79*10</f>
        <v>790</v>
      </c>
      <c r="I93" s="14">
        <f>$H93/$F93</f>
        <v>263.3333333333333</v>
      </c>
    </row>
    <row r="94" spans="1:9" s="24" customFormat="1" ht="12.75" customHeight="1">
      <c r="A94" s="1" t="s">
        <v>504</v>
      </c>
      <c r="B94" s="5">
        <v>2003</v>
      </c>
      <c r="C94" s="31" t="s">
        <v>505</v>
      </c>
      <c r="D94" s="27" t="s">
        <v>507</v>
      </c>
      <c r="E94" s="34"/>
      <c r="F94" s="35">
        <v>2</v>
      </c>
      <c r="G94" s="86"/>
      <c r="H94" s="138">
        <f>52*10</f>
        <v>520</v>
      </c>
      <c r="I94" s="14">
        <f>$H94/$F94</f>
        <v>260</v>
      </c>
    </row>
    <row r="95" spans="1:9" s="24" customFormat="1" ht="12.75" customHeight="1">
      <c r="A95" s="1" t="s">
        <v>504</v>
      </c>
      <c r="B95" s="5">
        <v>2003</v>
      </c>
      <c r="C95" s="31" t="s">
        <v>506</v>
      </c>
      <c r="D95" s="27" t="s">
        <v>320</v>
      </c>
      <c r="E95" s="34"/>
      <c r="F95" s="35">
        <v>1</v>
      </c>
      <c r="G95" s="86"/>
      <c r="H95" s="138">
        <f>26*10</f>
        <v>260</v>
      </c>
      <c r="I95" s="14">
        <f>$H95/$F95</f>
        <v>260</v>
      </c>
    </row>
    <row r="96" spans="1:9" s="24" customFormat="1" ht="12.75" customHeight="1">
      <c r="A96" s="1"/>
      <c r="B96" s="5"/>
      <c r="E96" s="92"/>
      <c r="F96" s="14"/>
      <c r="G96" s="86"/>
      <c r="H96" s="138"/>
      <c r="I96" s="14"/>
    </row>
    <row r="97" spans="1:9" s="24" customFormat="1" ht="12.75" customHeight="1">
      <c r="A97" s="1" t="s">
        <v>504</v>
      </c>
      <c r="B97" s="5">
        <v>2004</v>
      </c>
      <c r="C97" s="31" t="s">
        <v>5</v>
      </c>
      <c r="D97" s="27" t="s">
        <v>362</v>
      </c>
      <c r="E97" s="34"/>
      <c r="F97" s="35">
        <v>1</v>
      </c>
      <c r="G97" s="86"/>
      <c r="H97" s="138">
        <v>73</v>
      </c>
      <c r="I97" s="14">
        <f>$H97/$F97</f>
        <v>73</v>
      </c>
    </row>
    <row r="98" spans="1:9" s="24" customFormat="1" ht="12.75" customHeight="1">
      <c r="A98" s="1"/>
      <c r="B98" s="5"/>
      <c r="E98" s="92"/>
      <c r="F98" s="14"/>
      <c r="G98" s="86"/>
      <c r="H98" s="138"/>
      <c r="I98" s="14"/>
    </row>
    <row r="99" spans="1:9" s="24" customFormat="1" ht="3" customHeight="1">
      <c r="A99" s="1"/>
      <c r="B99" s="5"/>
      <c r="E99" s="92"/>
      <c r="F99" s="14"/>
      <c r="G99" s="86"/>
      <c r="H99" s="138"/>
      <c r="I99" s="14"/>
    </row>
    <row r="100" spans="1:9" s="24" customFormat="1" ht="12.75" customHeight="1">
      <c r="A100" s="25" t="s">
        <v>94</v>
      </c>
      <c r="B100" s="22">
        <v>2003</v>
      </c>
      <c r="C100" s="25" t="s">
        <v>122</v>
      </c>
      <c r="D100" s="8" t="s">
        <v>42</v>
      </c>
      <c r="E100" s="25"/>
      <c r="F100" s="19">
        <v>117.98461817999998</v>
      </c>
      <c r="G100" s="83" t="s">
        <v>180</v>
      </c>
      <c r="H100" s="120">
        <v>20251.73</v>
      </c>
      <c r="I100" s="14">
        <f aca="true" t="shared" si="6" ref="I100:I131">$H100/$F100</f>
        <v>171.64720547812007</v>
      </c>
    </row>
    <row r="101" spans="1:9" s="24" customFormat="1" ht="12.75" customHeight="1">
      <c r="A101" s="25" t="s">
        <v>94</v>
      </c>
      <c r="B101" s="22">
        <v>2003</v>
      </c>
      <c r="C101" s="25" t="s">
        <v>114</v>
      </c>
      <c r="D101" s="8"/>
      <c r="E101" s="25"/>
      <c r="F101" s="19">
        <v>27.9352073</v>
      </c>
      <c r="G101" s="83" t="s">
        <v>180</v>
      </c>
      <c r="H101" s="120">
        <v>11893.563</v>
      </c>
      <c r="I101" s="14">
        <f t="shared" si="6"/>
        <v>425.7553155870084</v>
      </c>
    </row>
    <row r="102" spans="1:9" s="24" customFormat="1" ht="12.75" customHeight="1">
      <c r="A102" s="25" t="s">
        <v>94</v>
      </c>
      <c r="B102" s="22">
        <v>2003</v>
      </c>
      <c r="C102" s="25" t="s">
        <v>102</v>
      </c>
      <c r="D102" s="8"/>
      <c r="E102" s="25"/>
      <c r="F102" s="19">
        <v>26.216756280000002</v>
      </c>
      <c r="G102" s="83" t="s">
        <v>180</v>
      </c>
      <c r="H102" s="120">
        <v>5614.139</v>
      </c>
      <c r="I102" s="14">
        <f t="shared" si="6"/>
        <v>214.14315867454826</v>
      </c>
    </row>
    <row r="103" spans="1:9" s="24" customFormat="1" ht="12.75" customHeight="1">
      <c r="A103" s="25" t="s">
        <v>94</v>
      </c>
      <c r="B103" s="22">
        <v>2003</v>
      </c>
      <c r="C103" s="25" t="s">
        <v>142</v>
      </c>
      <c r="E103" s="25"/>
      <c r="F103" s="19">
        <v>12.39828161</v>
      </c>
      <c r="G103" s="83" t="s">
        <v>180</v>
      </c>
      <c r="H103" s="120">
        <v>4251.622</v>
      </c>
      <c r="I103" s="14">
        <f t="shared" si="6"/>
        <v>342.9202637703275</v>
      </c>
    </row>
    <row r="104" spans="1:9" s="24" customFormat="1" ht="12.75" customHeight="1">
      <c r="A104" s="25" t="s">
        <v>94</v>
      </c>
      <c r="B104" s="22">
        <v>2003</v>
      </c>
      <c r="C104" s="25" t="s">
        <v>115</v>
      </c>
      <c r="D104" s="8"/>
      <c r="E104" s="25"/>
      <c r="F104" s="19">
        <v>10.90392017</v>
      </c>
      <c r="G104" s="83" t="s">
        <v>180</v>
      </c>
      <c r="H104" s="120">
        <v>3527.863</v>
      </c>
      <c r="I104" s="14">
        <f t="shared" si="6"/>
        <v>323.54079496163445</v>
      </c>
    </row>
    <row r="105" spans="1:9" s="24" customFormat="1" ht="12.75" customHeight="1">
      <c r="A105" s="25" t="s">
        <v>94</v>
      </c>
      <c r="B105" s="22">
        <v>2003</v>
      </c>
      <c r="C105" s="25" t="s">
        <v>143</v>
      </c>
      <c r="D105" s="8"/>
      <c r="E105" s="25"/>
      <c r="F105" s="19">
        <v>9.369741809999999</v>
      </c>
      <c r="G105" s="83" t="s">
        <v>180</v>
      </c>
      <c r="H105" s="120">
        <v>4031.299</v>
      </c>
      <c r="I105" s="14">
        <f t="shared" si="6"/>
        <v>430.2465405927765</v>
      </c>
    </row>
    <row r="106" spans="1:9" s="24" customFormat="1" ht="12.75" customHeight="1">
      <c r="A106" s="25" t="s">
        <v>94</v>
      </c>
      <c r="B106" s="22">
        <v>2003</v>
      </c>
      <c r="C106" s="25" t="s">
        <v>109</v>
      </c>
      <c r="D106" s="8"/>
      <c r="E106" s="25"/>
      <c r="F106" s="19">
        <v>8.531364269999997</v>
      </c>
      <c r="G106" s="83" t="s">
        <v>180</v>
      </c>
      <c r="H106" s="120">
        <v>2015.581</v>
      </c>
      <c r="I106" s="14">
        <f t="shared" si="6"/>
        <v>236.25541428205838</v>
      </c>
    </row>
    <row r="107" spans="1:9" s="24" customFormat="1" ht="12.75" customHeight="1">
      <c r="A107" s="25" t="s">
        <v>94</v>
      </c>
      <c r="B107" s="22">
        <v>2003</v>
      </c>
      <c r="C107" s="25" t="s">
        <v>113</v>
      </c>
      <c r="D107" s="8"/>
      <c r="E107" s="25"/>
      <c r="F107" s="19">
        <v>7.39432551</v>
      </c>
      <c r="G107" s="83" t="s">
        <v>180</v>
      </c>
      <c r="H107" s="120">
        <v>1899.215</v>
      </c>
      <c r="I107" s="14">
        <f t="shared" si="6"/>
        <v>256.84763234070823</v>
      </c>
    </row>
    <row r="108" spans="1:9" s="24" customFormat="1" ht="12.75" customHeight="1">
      <c r="A108" s="25" t="s">
        <v>94</v>
      </c>
      <c r="B108" s="22">
        <v>2003</v>
      </c>
      <c r="C108" s="25" t="s">
        <v>98</v>
      </c>
      <c r="D108" s="8"/>
      <c r="E108" s="25"/>
      <c r="F108" s="19">
        <v>7.23073208</v>
      </c>
      <c r="G108" s="83" t="s">
        <v>180</v>
      </c>
      <c r="H108" s="120">
        <v>3102.948</v>
      </c>
      <c r="I108" s="14">
        <f t="shared" si="6"/>
        <v>429.13331121514875</v>
      </c>
    </row>
    <row r="109" spans="1:9" s="24" customFormat="1" ht="12.75" customHeight="1">
      <c r="A109" s="25" t="s">
        <v>94</v>
      </c>
      <c r="B109" s="22">
        <v>2003</v>
      </c>
      <c r="C109" s="25" t="s">
        <v>146</v>
      </c>
      <c r="D109" s="8"/>
      <c r="E109" s="25"/>
      <c r="F109" s="19">
        <v>5.978961559999999</v>
      </c>
      <c r="G109" s="83" t="s">
        <v>180</v>
      </c>
      <c r="H109" s="120">
        <v>2086.528</v>
      </c>
      <c r="I109" s="14">
        <f t="shared" si="6"/>
        <v>348.9783265975706</v>
      </c>
    </row>
    <row r="110" spans="1:9" s="24" customFormat="1" ht="12.75" customHeight="1">
      <c r="A110" s="25" t="s">
        <v>94</v>
      </c>
      <c r="B110" s="22">
        <v>2003</v>
      </c>
      <c r="C110" s="25" t="s">
        <v>715</v>
      </c>
      <c r="D110" s="8"/>
      <c r="E110" s="25"/>
      <c r="F110" s="19">
        <v>4.13106265</v>
      </c>
      <c r="G110" s="83" t="s">
        <v>180</v>
      </c>
      <c r="H110" s="120">
        <v>1632.679</v>
      </c>
      <c r="I110" s="14">
        <f t="shared" si="6"/>
        <v>395.22010153973343</v>
      </c>
    </row>
    <row r="111" spans="1:9" s="24" customFormat="1" ht="12.75" customHeight="1">
      <c r="A111" s="25" t="s">
        <v>94</v>
      </c>
      <c r="B111" s="22">
        <v>2003</v>
      </c>
      <c r="C111" s="25" t="s">
        <v>159</v>
      </c>
      <c r="D111" s="8"/>
      <c r="E111" s="25"/>
      <c r="F111" s="19">
        <v>3.97295613</v>
      </c>
      <c r="G111" s="83" t="s">
        <v>180</v>
      </c>
      <c r="H111" s="120">
        <v>911.025</v>
      </c>
      <c r="I111" s="14">
        <f t="shared" si="6"/>
        <v>229.30658436442388</v>
      </c>
    </row>
    <row r="112" spans="1:9" s="24" customFormat="1" ht="12.75" customHeight="1">
      <c r="A112" s="25" t="s">
        <v>94</v>
      </c>
      <c r="B112" s="22">
        <v>2003</v>
      </c>
      <c r="C112" s="25" t="s">
        <v>99</v>
      </c>
      <c r="D112" s="8"/>
      <c r="E112" s="25"/>
      <c r="F112" s="19">
        <v>3.8142976299999996</v>
      </c>
      <c r="G112" s="83" t="s">
        <v>180</v>
      </c>
      <c r="H112" s="120">
        <v>1008.378</v>
      </c>
      <c r="I112" s="14">
        <f t="shared" si="6"/>
        <v>264.3679381674262</v>
      </c>
    </row>
    <row r="113" spans="1:9" s="24" customFormat="1" ht="12.75" customHeight="1">
      <c r="A113" s="25" t="s">
        <v>94</v>
      </c>
      <c r="B113" s="22">
        <v>2003</v>
      </c>
      <c r="C113" s="25" t="s">
        <v>127</v>
      </c>
      <c r="D113" s="8"/>
      <c r="E113" s="25"/>
      <c r="F113" s="19">
        <v>3.73017216</v>
      </c>
      <c r="G113" s="83" t="s">
        <v>180</v>
      </c>
      <c r="H113" s="120">
        <v>676.099</v>
      </c>
      <c r="I113" s="14">
        <f t="shared" si="6"/>
        <v>181.25141977361176</v>
      </c>
    </row>
    <row r="114" spans="1:9" s="24" customFormat="1" ht="12.75" customHeight="1">
      <c r="A114" s="25" t="s">
        <v>94</v>
      </c>
      <c r="B114" s="22">
        <v>2003</v>
      </c>
      <c r="C114" s="25" t="s">
        <v>105</v>
      </c>
      <c r="D114" s="8"/>
      <c r="E114" s="25"/>
      <c r="F114" s="19">
        <v>1.5998525399999999</v>
      </c>
      <c r="G114" s="83" t="s">
        <v>180</v>
      </c>
      <c r="H114" s="120">
        <v>1692.525</v>
      </c>
      <c r="I114" s="14">
        <f t="shared" si="6"/>
        <v>1057.9256260705129</v>
      </c>
    </row>
    <row r="115" spans="1:9" s="24" customFormat="1" ht="12.75" customHeight="1">
      <c r="A115" s="25" t="s">
        <v>94</v>
      </c>
      <c r="B115" s="22">
        <v>2003</v>
      </c>
      <c r="C115" s="25" t="s">
        <v>106</v>
      </c>
      <c r="D115" s="8"/>
      <c r="E115" s="25"/>
      <c r="F115" s="19">
        <v>1.54632192</v>
      </c>
      <c r="G115" s="83" t="s">
        <v>180</v>
      </c>
      <c r="H115" s="120">
        <v>288.994</v>
      </c>
      <c r="I115" s="14">
        <f t="shared" si="6"/>
        <v>186.89122637542383</v>
      </c>
    </row>
    <row r="116" spans="1:9" s="24" customFormat="1" ht="12.75" customHeight="1">
      <c r="A116" s="25" t="s">
        <v>94</v>
      </c>
      <c r="B116" s="22">
        <v>2003</v>
      </c>
      <c r="C116" s="25" t="s">
        <v>154</v>
      </c>
      <c r="D116" s="8"/>
      <c r="E116" s="25"/>
      <c r="F116" s="19">
        <v>1.3163721999999998</v>
      </c>
      <c r="G116" s="83" t="s">
        <v>180</v>
      </c>
      <c r="H116" s="120">
        <v>511.509</v>
      </c>
      <c r="I116" s="14">
        <f t="shared" si="6"/>
        <v>388.5747511228208</v>
      </c>
    </row>
    <row r="117" spans="1:9" s="24" customFormat="1" ht="12.75" customHeight="1">
      <c r="A117" s="25" t="s">
        <v>94</v>
      </c>
      <c r="B117" s="22">
        <v>2003</v>
      </c>
      <c r="C117" s="25" t="s">
        <v>103</v>
      </c>
      <c r="D117" s="8"/>
      <c r="E117" s="25"/>
      <c r="F117" s="19">
        <v>1.21067661</v>
      </c>
      <c r="G117" s="83" t="s">
        <v>180</v>
      </c>
      <c r="H117" s="120">
        <v>804.08</v>
      </c>
      <c r="I117" s="14">
        <f t="shared" si="6"/>
        <v>664.1575407986119</v>
      </c>
    </row>
    <row r="118" spans="1:9" s="24" customFormat="1" ht="12.75" customHeight="1">
      <c r="A118" s="25" t="s">
        <v>94</v>
      </c>
      <c r="B118" s="22">
        <v>2003</v>
      </c>
      <c r="C118" s="25" t="s">
        <v>100</v>
      </c>
      <c r="D118" s="8"/>
      <c r="E118" s="25"/>
      <c r="F118" s="19">
        <v>1.16669553</v>
      </c>
      <c r="G118" s="83" t="s">
        <v>180</v>
      </c>
      <c r="H118" s="120">
        <v>591.427</v>
      </c>
      <c r="I118" s="14">
        <f t="shared" si="6"/>
        <v>506.92488724971804</v>
      </c>
    </row>
    <row r="119" spans="1:9" s="24" customFormat="1" ht="12.75" customHeight="1">
      <c r="A119" s="25" t="s">
        <v>94</v>
      </c>
      <c r="B119" s="22">
        <v>2003</v>
      </c>
      <c r="C119" s="25" t="s">
        <v>126</v>
      </c>
      <c r="D119" s="8"/>
      <c r="E119" s="25"/>
      <c r="F119" s="19">
        <v>1.06679859</v>
      </c>
      <c r="G119" s="83" t="s">
        <v>180</v>
      </c>
      <c r="H119" s="120">
        <v>414.467</v>
      </c>
      <c r="I119" s="14">
        <f t="shared" si="6"/>
        <v>388.5147617227353</v>
      </c>
    </row>
    <row r="120" spans="1:9" s="24" customFormat="1" ht="12.75" customHeight="1">
      <c r="A120" s="25" t="s">
        <v>94</v>
      </c>
      <c r="B120" s="22">
        <v>2003</v>
      </c>
      <c r="C120" s="25" t="s">
        <v>117</v>
      </c>
      <c r="D120" s="8"/>
      <c r="E120" s="25"/>
      <c r="F120" s="19">
        <v>0.9658720499999999</v>
      </c>
      <c r="G120" s="83" t="s">
        <v>180</v>
      </c>
      <c r="H120" s="120">
        <v>505.974</v>
      </c>
      <c r="I120" s="14">
        <f t="shared" si="6"/>
        <v>523.8519946819043</v>
      </c>
    </row>
    <row r="121" spans="1:9" s="24" customFormat="1" ht="12.75" customHeight="1">
      <c r="A121" s="25" t="s">
        <v>94</v>
      </c>
      <c r="B121" s="22">
        <v>2003</v>
      </c>
      <c r="C121" s="25" t="s">
        <v>110</v>
      </c>
      <c r="D121" s="8"/>
      <c r="E121" s="25"/>
      <c r="F121" s="19">
        <v>0.6553675699999999</v>
      </c>
      <c r="G121" s="83" t="s">
        <v>180</v>
      </c>
      <c r="H121" s="120">
        <v>340.75</v>
      </c>
      <c r="I121" s="14">
        <f t="shared" si="6"/>
        <v>519.9372315599932</v>
      </c>
    </row>
    <row r="122" spans="1:9" s="24" customFormat="1" ht="12.75" customHeight="1">
      <c r="A122" s="25" t="s">
        <v>94</v>
      </c>
      <c r="B122" s="22">
        <v>2003</v>
      </c>
      <c r="C122" s="25" t="s">
        <v>130</v>
      </c>
      <c r="D122" s="8"/>
      <c r="E122" s="25"/>
      <c r="F122" s="19">
        <v>0.6508301799999999</v>
      </c>
      <c r="G122" s="83" t="s">
        <v>180</v>
      </c>
      <c r="H122" s="120">
        <v>25.673</v>
      </c>
      <c r="I122" s="14">
        <f t="shared" si="6"/>
        <v>39.44654195354002</v>
      </c>
    </row>
    <row r="123" spans="1:9" s="24" customFormat="1" ht="12.75" customHeight="1">
      <c r="A123" s="25" t="s">
        <v>94</v>
      </c>
      <c r="B123" s="22">
        <v>2003</v>
      </c>
      <c r="C123" s="25" t="s">
        <v>153</v>
      </c>
      <c r="D123" s="8"/>
      <c r="E123" s="25"/>
      <c r="F123" s="19">
        <v>0.64621414</v>
      </c>
      <c r="G123" s="83" t="s">
        <v>180</v>
      </c>
      <c r="H123" s="120">
        <v>297.638</v>
      </c>
      <c r="I123" s="14">
        <f t="shared" si="6"/>
        <v>460.58725982071513</v>
      </c>
    </row>
    <row r="124" spans="1:9" s="24" customFormat="1" ht="12.75" customHeight="1">
      <c r="A124" s="25" t="s">
        <v>94</v>
      </c>
      <c r="B124" s="22">
        <v>2003</v>
      </c>
      <c r="C124" s="25" t="s">
        <v>112</v>
      </c>
      <c r="D124" s="8"/>
      <c r="E124" s="25"/>
      <c r="F124" s="19">
        <v>0.64586951</v>
      </c>
      <c r="G124" s="83" t="s">
        <v>180</v>
      </c>
      <c r="H124" s="120">
        <v>420.24</v>
      </c>
      <c r="I124" s="14">
        <f t="shared" si="6"/>
        <v>650.6577466398746</v>
      </c>
    </row>
    <row r="125" spans="1:9" s="24" customFormat="1" ht="12.75" customHeight="1">
      <c r="A125" s="25" t="s">
        <v>94</v>
      </c>
      <c r="B125" s="22">
        <v>2003</v>
      </c>
      <c r="C125" s="25" t="s">
        <v>123</v>
      </c>
      <c r="D125" s="8"/>
      <c r="E125" s="25"/>
      <c r="F125" s="19">
        <v>0.6137073799999999</v>
      </c>
      <c r="G125" s="83" t="s">
        <v>180</v>
      </c>
      <c r="H125" s="120">
        <v>247.597</v>
      </c>
      <c r="I125" s="14">
        <f t="shared" si="6"/>
        <v>403.44471660093126</v>
      </c>
    </row>
    <row r="126" spans="1:9" s="24" customFormat="1" ht="12.75" customHeight="1">
      <c r="A126" s="25" t="s">
        <v>94</v>
      </c>
      <c r="B126" s="22">
        <v>2003</v>
      </c>
      <c r="C126" s="25" t="s">
        <v>124</v>
      </c>
      <c r="D126" s="8"/>
      <c r="E126" s="25"/>
      <c r="F126" s="19">
        <v>0.57809752</v>
      </c>
      <c r="G126" s="83" t="s">
        <v>180</v>
      </c>
      <c r="H126" s="120">
        <v>139.441</v>
      </c>
      <c r="I126" s="14">
        <f t="shared" si="6"/>
        <v>241.20670851519998</v>
      </c>
    </row>
    <row r="127" spans="1:9" s="24" customFormat="1" ht="12.75" customHeight="1">
      <c r="A127" s="25" t="s">
        <v>94</v>
      </c>
      <c r="B127" s="22">
        <v>2003</v>
      </c>
      <c r="C127" s="25" t="s">
        <v>147</v>
      </c>
      <c r="D127" s="8"/>
      <c r="E127" s="25"/>
      <c r="F127" s="19">
        <v>0.5662299499999999</v>
      </c>
      <c r="G127" s="83" t="s">
        <v>180</v>
      </c>
      <c r="H127" s="120">
        <v>54.825</v>
      </c>
      <c r="I127" s="14">
        <f t="shared" si="6"/>
        <v>96.82462045675969</v>
      </c>
    </row>
    <row r="128" spans="1:9" s="24" customFormat="1" ht="12.75" customHeight="1">
      <c r="A128" s="25" t="s">
        <v>94</v>
      </c>
      <c r="B128" s="22">
        <v>2003</v>
      </c>
      <c r="C128" s="25" t="s">
        <v>107</v>
      </c>
      <c r="D128" s="8"/>
      <c r="E128" s="25"/>
      <c r="F128" s="19">
        <v>0.5283034899999999</v>
      </c>
      <c r="G128" s="83" t="s">
        <v>180</v>
      </c>
      <c r="H128" s="120">
        <v>193.476</v>
      </c>
      <c r="I128" s="14">
        <f t="shared" si="6"/>
        <v>366.2213172205242</v>
      </c>
    </row>
    <row r="129" spans="1:9" s="24" customFormat="1" ht="12.75" customHeight="1">
      <c r="A129" s="25" t="s">
        <v>94</v>
      </c>
      <c r="B129" s="22">
        <v>2003</v>
      </c>
      <c r="C129" s="25" t="s">
        <v>101</v>
      </c>
      <c r="D129" s="8"/>
      <c r="E129" s="25"/>
      <c r="F129" s="19">
        <v>0.48792886999999996</v>
      </c>
      <c r="G129" s="83" t="s">
        <v>181</v>
      </c>
      <c r="H129" s="120">
        <v>132.617</v>
      </c>
      <c r="I129" s="14">
        <f t="shared" si="6"/>
        <v>271.79576400142093</v>
      </c>
    </row>
    <row r="130" spans="1:9" s="24" customFormat="1" ht="12.75" customHeight="1">
      <c r="A130" s="25" t="s">
        <v>94</v>
      </c>
      <c r="B130" s="22">
        <v>2003</v>
      </c>
      <c r="C130" s="25" t="s">
        <v>157</v>
      </c>
      <c r="D130" s="8"/>
      <c r="E130" s="25"/>
      <c r="F130" s="19">
        <v>0.31432973</v>
      </c>
      <c r="G130" s="83" t="s">
        <v>181</v>
      </c>
      <c r="H130" s="120">
        <v>167.765</v>
      </c>
      <c r="I130" s="14">
        <f t="shared" si="6"/>
        <v>533.7229793694665</v>
      </c>
    </row>
    <row r="131" spans="1:9" s="24" customFormat="1" ht="12.75" customHeight="1">
      <c r="A131" s="25" t="s">
        <v>94</v>
      </c>
      <c r="B131" s="22">
        <v>2003</v>
      </c>
      <c r="C131" s="25" t="s">
        <v>118</v>
      </c>
      <c r="D131" s="8"/>
      <c r="E131" s="25"/>
      <c r="F131" s="19">
        <v>0.29698383</v>
      </c>
      <c r="G131" s="83" t="s">
        <v>181</v>
      </c>
      <c r="H131" s="120">
        <v>142.773</v>
      </c>
      <c r="I131" s="14">
        <f t="shared" si="6"/>
        <v>480.74334552153897</v>
      </c>
    </row>
    <row r="132" spans="1:9" s="24" customFormat="1" ht="12.75" customHeight="1">
      <c r="A132" s="25" t="s">
        <v>94</v>
      </c>
      <c r="B132" s="22">
        <v>2003</v>
      </c>
      <c r="C132" s="25" t="s">
        <v>104</v>
      </c>
      <c r="D132" s="8"/>
      <c r="E132" s="25"/>
      <c r="F132" s="19">
        <v>0.22860695</v>
      </c>
      <c r="G132" s="83" t="s">
        <v>181</v>
      </c>
      <c r="H132" s="120">
        <v>61.075</v>
      </c>
      <c r="I132" s="14">
        <f aca="true" t="shared" si="7" ref="I132:I149">$H132/$F132</f>
        <v>267.1616064166028</v>
      </c>
    </row>
    <row r="133" spans="1:9" s="24" customFormat="1" ht="12.75" customHeight="1">
      <c r="A133" s="25" t="s">
        <v>94</v>
      </c>
      <c r="B133" s="22">
        <v>2003</v>
      </c>
      <c r="C133" s="25" t="s">
        <v>152</v>
      </c>
      <c r="D133" s="8"/>
      <c r="E133" s="25"/>
      <c r="F133" s="19">
        <v>0.21871707</v>
      </c>
      <c r="G133" s="83" t="s">
        <v>181</v>
      </c>
      <c r="H133" s="120">
        <v>69.24</v>
      </c>
      <c r="I133" s="14">
        <f t="shared" si="7"/>
        <v>316.57337033638936</v>
      </c>
    </row>
    <row r="134" spans="1:9" s="24" customFormat="1" ht="12.75" customHeight="1">
      <c r="A134" s="25" t="s">
        <v>94</v>
      </c>
      <c r="B134" s="22">
        <v>2003</v>
      </c>
      <c r="C134" s="25" t="s">
        <v>145</v>
      </c>
      <c r="D134" s="8"/>
      <c r="E134" s="25"/>
      <c r="F134" s="19">
        <v>0.19019</v>
      </c>
      <c r="G134" s="83" t="s">
        <v>181</v>
      </c>
      <c r="H134" s="120">
        <v>40.254</v>
      </c>
      <c r="I134" s="14">
        <f t="shared" si="7"/>
        <v>211.65150638834848</v>
      </c>
    </row>
    <row r="135" spans="1:9" s="24" customFormat="1" ht="12.75" customHeight="1">
      <c r="A135" s="25" t="s">
        <v>94</v>
      </c>
      <c r="B135" s="22">
        <v>2003</v>
      </c>
      <c r="C135" s="25" t="s">
        <v>125</v>
      </c>
      <c r="D135" s="8"/>
      <c r="E135" s="25"/>
      <c r="F135" s="19">
        <v>0.14515358</v>
      </c>
      <c r="G135" s="83" t="s">
        <v>181</v>
      </c>
      <c r="H135" s="120">
        <v>59.914</v>
      </c>
      <c r="I135" s="14">
        <f t="shared" si="7"/>
        <v>412.76281301501484</v>
      </c>
    </row>
    <row r="136" spans="1:9" s="24" customFormat="1" ht="12.75" customHeight="1">
      <c r="A136" s="25" t="s">
        <v>94</v>
      </c>
      <c r="B136" s="22">
        <v>2003</v>
      </c>
      <c r="C136" s="25" t="s">
        <v>120</v>
      </c>
      <c r="D136" s="8"/>
      <c r="E136" s="25"/>
      <c r="F136" s="19">
        <v>0.11934064999999999</v>
      </c>
      <c r="G136" s="83" t="s">
        <v>181</v>
      </c>
      <c r="H136" s="120">
        <v>54.595</v>
      </c>
      <c r="I136" s="14">
        <f t="shared" si="7"/>
        <v>457.47195109126693</v>
      </c>
    </row>
    <row r="137" spans="1:9" s="24" customFormat="1" ht="12.75" customHeight="1">
      <c r="A137" s="25" t="s">
        <v>94</v>
      </c>
      <c r="B137" s="22">
        <v>2003</v>
      </c>
      <c r="C137" s="25" t="s">
        <v>97</v>
      </c>
      <c r="D137" s="8"/>
      <c r="E137" s="25"/>
      <c r="F137" s="19">
        <v>0.11372504000000001</v>
      </c>
      <c r="G137" s="83" t="s">
        <v>181</v>
      </c>
      <c r="H137" s="120">
        <v>46.425</v>
      </c>
      <c r="I137" s="14">
        <f t="shared" si="7"/>
        <v>408.2214435800593</v>
      </c>
    </row>
    <row r="138" spans="1:9" s="24" customFormat="1" ht="12.75" customHeight="1">
      <c r="A138" s="25" t="s">
        <v>94</v>
      </c>
      <c r="B138" s="22">
        <v>2003</v>
      </c>
      <c r="C138" s="25" t="s">
        <v>156</v>
      </c>
      <c r="D138" s="8"/>
      <c r="E138" s="25"/>
      <c r="F138" s="19">
        <v>0.10987548</v>
      </c>
      <c r="G138" s="83" t="s">
        <v>181</v>
      </c>
      <c r="H138" s="120">
        <v>48.458</v>
      </c>
      <c r="I138" s="14">
        <f t="shared" si="7"/>
        <v>441.0265147419606</v>
      </c>
    </row>
    <row r="139" spans="1:9" s="24" customFormat="1" ht="12.75" customHeight="1">
      <c r="A139" s="25" t="s">
        <v>94</v>
      </c>
      <c r="B139" s="22">
        <v>2003</v>
      </c>
      <c r="C139" s="25" t="s">
        <v>150</v>
      </c>
      <c r="D139" s="8"/>
      <c r="E139" s="25"/>
      <c r="F139" s="19">
        <v>0.10810513999999999</v>
      </c>
      <c r="G139" s="83" t="s">
        <v>181</v>
      </c>
      <c r="H139" s="120">
        <v>162.665</v>
      </c>
      <c r="I139" s="14">
        <f t="shared" si="7"/>
        <v>1504.6925613342714</v>
      </c>
    </row>
    <row r="140" spans="1:9" s="24" customFormat="1" ht="12.75" customHeight="1">
      <c r="A140" s="25" t="s">
        <v>94</v>
      </c>
      <c r="B140" s="22">
        <v>2003</v>
      </c>
      <c r="C140" s="25" t="s">
        <v>151</v>
      </c>
      <c r="D140" s="8"/>
      <c r="E140" s="25"/>
      <c r="F140" s="19">
        <v>0.10770330999999998</v>
      </c>
      <c r="G140" s="83" t="s">
        <v>181</v>
      </c>
      <c r="H140" s="120">
        <v>187.196</v>
      </c>
      <c r="I140" s="14">
        <f t="shared" si="7"/>
        <v>1738.0710026460656</v>
      </c>
    </row>
    <row r="141" spans="1:9" s="24" customFormat="1" ht="12.75" customHeight="1">
      <c r="A141" s="25" t="s">
        <v>94</v>
      </c>
      <c r="B141" s="22">
        <v>2003</v>
      </c>
      <c r="C141" s="25" t="s">
        <v>197</v>
      </c>
      <c r="D141" s="8"/>
      <c r="E141" s="25"/>
      <c r="F141" s="19">
        <v>0.10072777</v>
      </c>
      <c r="G141" s="83" t="s">
        <v>181</v>
      </c>
      <c r="H141" s="120">
        <v>28.719</v>
      </c>
      <c r="I141" s="14">
        <f t="shared" si="7"/>
        <v>285.11501843036933</v>
      </c>
    </row>
    <row r="142" spans="1:9" s="24" customFormat="1" ht="12.75" customHeight="1">
      <c r="A142" s="25" t="s">
        <v>94</v>
      </c>
      <c r="B142" s="22">
        <v>2003</v>
      </c>
      <c r="C142" s="25" t="s">
        <v>119</v>
      </c>
      <c r="D142" s="8"/>
      <c r="E142" s="25"/>
      <c r="F142" s="19">
        <v>0.08138844999999999</v>
      </c>
      <c r="G142" s="83" t="s">
        <v>181</v>
      </c>
      <c r="H142" s="120">
        <v>27.293</v>
      </c>
      <c r="I142" s="14">
        <f t="shared" si="7"/>
        <v>335.342422665624</v>
      </c>
    </row>
    <row r="143" spans="1:9" s="24" customFormat="1" ht="12.75" customHeight="1">
      <c r="A143" s="25" t="s">
        <v>94</v>
      </c>
      <c r="B143" s="22">
        <v>2003</v>
      </c>
      <c r="C143" s="25" t="s">
        <v>111</v>
      </c>
      <c r="D143" s="8"/>
      <c r="E143" s="25"/>
      <c r="F143" s="19">
        <v>0.07905182999999999</v>
      </c>
      <c r="G143" s="83" t="s">
        <v>181</v>
      </c>
      <c r="H143" s="120">
        <v>13.894</v>
      </c>
      <c r="I143" s="14">
        <f t="shared" si="7"/>
        <v>175.75810705457423</v>
      </c>
    </row>
    <row r="144" spans="1:9" s="24" customFormat="1" ht="12.75" customHeight="1">
      <c r="A144" s="25" t="s">
        <v>94</v>
      </c>
      <c r="B144" s="22">
        <v>2003</v>
      </c>
      <c r="C144" s="25" t="s">
        <v>121</v>
      </c>
      <c r="D144" s="8"/>
      <c r="E144" s="25"/>
      <c r="F144" s="19">
        <v>0.06604455000000001</v>
      </c>
      <c r="G144" s="83" t="s">
        <v>181</v>
      </c>
      <c r="H144" s="120">
        <v>89.898</v>
      </c>
      <c r="I144" s="14">
        <f t="shared" si="7"/>
        <v>1361.1721179113188</v>
      </c>
    </row>
    <row r="145" spans="1:9" s="24" customFormat="1" ht="12.75" customHeight="1">
      <c r="A145" s="25" t="s">
        <v>94</v>
      </c>
      <c r="B145" s="22">
        <v>2003</v>
      </c>
      <c r="C145" s="25" t="s">
        <v>116</v>
      </c>
      <c r="D145" s="8"/>
      <c r="E145" s="25"/>
      <c r="F145" s="19">
        <v>0.05160297999999999</v>
      </c>
      <c r="G145" s="83" t="s">
        <v>181</v>
      </c>
      <c r="H145" s="120">
        <v>50.166</v>
      </c>
      <c r="I145" s="14">
        <f t="shared" si="7"/>
        <v>972.1531585966547</v>
      </c>
    </row>
    <row r="146" spans="1:9" s="24" customFormat="1" ht="12.75" customHeight="1">
      <c r="A146" s="25" t="s">
        <v>94</v>
      </c>
      <c r="B146" s="22">
        <v>2003</v>
      </c>
      <c r="C146" s="25" t="s">
        <v>108</v>
      </c>
      <c r="D146" s="8"/>
      <c r="E146" s="25"/>
      <c r="F146" s="19">
        <v>0.0271986</v>
      </c>
      <c r="G146" s="83" t="s">
        <v>181</v>
      </c>
      <c r="H146" s="120">
        <v>3.423</v>
      </c>
      <c r="I146" s="14">
        <f t="shared" si="7"/>
        <v>125.8520659151574</v>
      </c>
    </row>
    <row r="147" spans="1:9" s="24" customFormat="1" ht="12.75" customHeight="1">
      <c r="A147" s="25" t="s">
        <v>94</v>
      </c>
      <c r="B147" s="22">
        <v>2003</v>
      </c>
      <c r="C147" s="25" t="s">
        <v>714</v>
      </c>
      <c r="D147" s="8"/>
      <c r="E147" s="25"/>
      <c r="F147" s="19">
        <v>0.01864577</v>
      </c>
      <c r="G147" s="83" t="s">
        <v>181</v>
      </c>
      <c r="H147" s="120">
        <v>10.983</v>
      </c>
      <c r="I147" s="14">
        <f t="shared" si="7"/>
        <v>589.0344029771901</v>
      </c>
    </row>
    <row r="148" spans="1:9" s="24" customFormat="1" ht="12.75" customHeight="1">
      <c r="A148" s="25" t="s">
        <v>94</v>
      </c>
      <c r="B148" s="22">
        <v>2003</v>
      </c>
      <c r="C148" s="25" t="s">
        <v>149</v>
      </c>
      <c r="D148" s="8"/>
      <c r="E148" s="25"/>
      <c r="F148" s="19">
        <v>0.01153009</v>
      </c>
      <c r="G148" s="83" t="s">
        <v>181</v>
      </c>
      <c r="H148" s="120">
        <v>18.922</v>
      </c>
      <c r="I148" s="14">
        <f t="shared" si="7"/>
        <v>1641.097337488259</v>
      </c>
    </row>
    <row r="149" spans="1:9" s="24" customFormat="1" ht="12.75" customHeight="1">
      <c r="A149" s="25" t="s">
        <v>94</v>
      </c>
      <c r="B149" s="22">
        <v>2003</v>
      </c>
      <c r="C149" s="25" t="s">
        <v>158</v>
      </c>
      <c r="D149" s="8"/>
      <c r="E149" s="25"/>
      <c r="F149" s="19">
        <v>0.006692399999999999</v>
      </c>
      <c r="G149" s="83" t="s">
        <v>181</v>
      </c>
      <c r="H149" s="120">
        <v>4.15</v>
      </c>
      <c r="I149" s="14">
        <f t="shared" si="7"/>
        <v>620.1063893371587</v>
      </c>
    </row>
    <row r="150" spans="1:9" s="24" customFormat="1" ht="12.75" customHeight="1">
      <c r="A150" s="25" t="s">
        <v>94</v>
      </c>
      <c r="B150" s="22">
        <v>2003</v>
      </c>
      <c r="C150" s="25" t="s">
        <v>129</v>
      </c>
      <c r="D150" s="8"/>
      <c r="E150" s="25"/>
      <c r="F150" s="19">
        <v>0.005719999999999999</v>
      </c>
      <c r="G150" s="83" t="s">
        <v>181</v>
      </c>
      <c r="H150" s="120">
        <v>64</v>
      </c>
      <c r="I150" s="59" t="s">
        <v>71</v>
      </c>
    </row>
    <row r="151" spans="2:9" s="24" customFormat="1" ht="12.75" customHeight="1">
      <c r="B151" s="5"/>
      <c r="F151" s="26"/>
      <c r="G151" s="87"/>
      <c r="H151" s="128"/>
      <c r="I151" s="26"/>
    </row>
    <row r="152" spans="2:9" s="24" customFormat="1" ht="3" customHeight="1">
      <c r="B152" s="5"/>
      <c r="F152" s="26"/>
      <c r="G152" s="87"/>
      <c r="H152" s="128"/>
      <c r="I152" s="26"/>
    </row>
    <row r="153" spans="1:9" s="24" customFormat="1" ht="12.75" customHeight="1">
      <c r="A153" s="25" t="s">
        <v>94</v>
      </c>
      <c r="B153" s="22">
        <v>2004</v>
      </c>
      <c r="C153" s="25" t="s">
        <v>122</v>
      </c>
      <c r="D153" s="8" t="s">
        <v>42</v>
      </c>
      <c r="E153" s="25"/>
      <c r="F153" s="19">
        <v>22.572155319999997</v>
      </c>
      <c r="G153" s="83" t="s">
        <v>180</v>
      </c>
      <c r="H153" s="120">
        <v>4414.365</v>
      </c>
      <c r="I153" s="14">
        <f aca="true" t="shared" si="8" ref="I153:I207">$H153/$F153</f>
        <v>195.56683610486516</v>
      </c>
    </row>
    <row r="154" spans="1:9" s="24" customFormat="1" ht="12.75" customHeight="1">
      <c r="A154" s="25" t="s">
        <v>94</v>
      </c>
      <c r="B154" s="22">
        <v>2004</v>
      </c>
      <c r="C154" s="25" t="s">
        <v>114</v>
      </c>
      <c r="D154" s="8"/>
      <c r="E154" s="25"/>
      <c r="F154" s="19">
        <v>15.099910540000002</v>
      </c>
      <c r="G154" s="83" t="s">
        <v>180</v>
      </c>
      <c r="H154" s="120">
        <v>4882.176</v>
      </c>
      <c r="I154" s="14">
        <f t="shared" si="8"/>
        <v>323.32482944630743</v>
      </c>
    </row>
    <row r="155" spans="1:9" s="24" customFormat="1" ht="12.75" customHeight="1">
      <c r="A155" s="25" t="s">
        <v>94</v>
      </c>
      <c r="B155" s="22">
        <v>2004</v>
      </c>
      <c r="C155" s="25" t="s">
        <v>127</v>
      </c>
      <c r="D155" s="8"/>
      <c r="E155" s="25"/>
      <c r="F155" s="19">
        <v>7.0833334</v>
      </c>
      <c r="G155" s="83" t="s">
        <v>180</v>
      </c>
      <c r="H155" s="120">
        <v>1679.949</v>
      </c>
      <c r="I155" s="14">
        <f t="shared" si="8"/>
        <v>237.16926835605395</v>
      </c>
    </row>
    <row r="156" spans="1:9" s="24" customFormat="1" ht="12.75" customHeight="1">
      <c r="A156" s="25" t="s">
        <v>94</v>
      </c>
      <c r="B156" s="22">
        <v>2004</v>
      </c>
      <c r="C156" s="25" t="s">
        <v>102</v>
      </c>
      <c r="D156" s="8"/>
      <c r="E156" s="25"/>
      <c r="F156" s="19">
        <v>5.78860425</v>
      </c>
      <c r="G156" s="83" t="s">
        <v>180</v>
      </c>
      <c r="H156" s="120">
        <v>1805.16</v>
      </c>
      <c r="I156" s="14">
        <f t="shared" si="8"/>
        <v>311.84719528891617</v>
      </c>
    </row>
    <row r="157" spans="1:9" s="24" customFormat="1" ht="12.75" customHeight="1">
      <c r="A157" s="25" t="s">
        <v>94</v>
      </c>
      <c r="B157" s="22">
        <v>2004</v>
      </c>
      <c r="C157" s="25" t="s">
        <v>143</v>
      </c>
      <c r="D157" s="8"/>
      <c r="E157" s="25"/>
      <c r="F157" s="19">
        <v>4.25290437</v>
      </c>
      <c r="G157" s="83" t="s">
        <v>180</v>
      </c>
      <c r="H157" s="120">
        <v>1430.203</v>
      </c>
      <c r="I157" s="14">
        <f t="shared" si="8"/>
        <v>336.28853968329406</v>
      </c>
    </row>
    <row r="158" spans="1:9" s="24" customFormat="1" ht="12.75" customHeight="1">
      <c r="A158" s="25" t="s">
        <v>94</v>
      </c>
      <c r="B158" s="22">
        <v>2004</v>
      </c>
      <c r="C158" s="25" t="s">
        <v>142</v>
      </c>
      <c r="E158" s="25"/>
      <c r="F158" s="19">
        <v>3.5881216799999995</v>
      </c>
      <c r="G158" s="83" t="s">
        <v>180</v>
      </c>
      <c r="H158" s="120">
        <v>2215.991</v>
      </c>
      <c r="I158" s="14">
        <f t="shared" si="8"/>
        <v>617.5908170427488</v>
      </c>
    </row>
    <row r="159" spans="1:9" s="24" customFormat="1" ht="12.75" customHeight="1">
      <c r="A159" s="25" t="s">
        <v>94</v>
      </c>
      <c r="B159" s="22">
        <v>2004</v>
      </c>
      <c r="C159" s="25" t="s">
        <v>124</v>
      </c>
      <c r="D159" s="8"/>
      <c r="E159" s="25"/>
      <c r="F159" s="19">
        <v>3.3503169699999997</v>
      </c>
      <c r="G159" s="83" t="s">
        <v>180</v>
      </c>
      <c r="H159" s="120">
        <v>655.961</v>
      </c>
      <c r="I159" s="14">
        <f t="shared" si="8"/>
        <v>195.790728421735</v>
      </c>
    </row>
    <row r="160" spans="1:9" s="24" customFormat="1" ht="12.75" customHeight="1">
      <c r="A160" s="25" t="s">
        <v>94</v>
      </c>
      <c r="B160" s="22">
        <v>2004</v>
      </c>
      <c r="C160" s="25" t="s">
        <v>146</v>
      </c>
      <c r="D160" s="8"/>
      <c r="E160" s="25"/>
      <c r="F160" s="19">
        <v>2.5851754500000004</v>
      </c>
      <c r="G160" s="83" t="s">
        <v>180</v>
      </c>
      <c r="H160" s="120">
        <v>632.513</v>
      </c>
      <c r="I160" s="14">
        <f t="shared" si="8"/>
        <v>244.6692738011263</v>
      </c>
    </row>
    <row r="161" spans="1:9" s="24" customFormat="1" ht="12.75" customHeight="1">
      <c r="A161" s="25" t="s">
        <v>94</v>
      </c>
      <c r="B161" s="22">
        <v>2004</v>
      </c>
      <c r="C161" s="25" t="s">
        <v>159</v>
      </c>
      <c r="D161" s="8"/>
      <c r="E161" s="25"/>
      <c r="F161" s="19">
        <v>2.47951132</v>
      </c>
      <c r="G161" s="83" t="s">
        <v>180</v>
      </c>
      <c r="H161" s="120">
        <v>518.265</v>
      </c>
      <c r="I161" s="14">
        <f t="shared" si="8"/>
        <v>209.01900943932776</v>
      </c>
    </row>
    <row r="162" spans="1:9" s="24" customFormat="1" ht="12.75" customHeight="1">
      <c r="A162" s="25" t="s">
        <v>94</v>
      </c>
      <c r="B162" s="22">
        <v>2004</v>
      </c>
      <c r="C162" s="25" t="s">
        <v>115</v>
      </c>
      <c r="D162" s="8"/>
      <c r="E162" s="25"/>
      <c r="F162" s="19">
        <v>2.1111948</v>
      </c>
      <c r="G162" s="83" t="s">
        <v>180</v>
      </c>
      <c r="H162" s="120">
        <v>824.495</v>
      </c>
      <c r="I162" s="14">
        <f t="shared" si="8"/>
        <v>390.53478153697614</v>
      </c>
    </row>
    <row r="163" spans="1:9" s="24" customFormat="1" ht="12.75" customHeight="1">
      <c r="A163" s="25" t="s">
        <v>94</v>
      </c>
      <c r="B163" s="22">
        <v>2004</v>
      </c>
      <c r="C163" s="25" t="s">
        <v>715</v>
      </c>
      <c r="D163" s="8"/>
      <c r="E163" s="25"/>
      <c r="F163" s="19">
        <v>1.9204399499999998</v>
      </c>
      <c r="G163" s="83" t="s">
        <v>180</v>
      </c>
      <c r="H163" s="120">
        <v>800.006</v>
      </c>
      <c r="I163" s="14">
        <f t="shared" si="8"/>
        <v>416.57433756259866</v>
      </c>
    </row>
    <row r="164" spans="1:9" s="24" customFormat="1" ht="12.75" customHeight="1">
      <c r="A164" s="25" t="s">
        <v>94</v>
      </c>
      <c r="B164" s="22">
        <v>2004</v>
      </c>
      <c r="C164" s="25" t="s">
        <v>99</v>
      </c>
      <c r="D164" s="8"/>
      <c r="E164" s="25"/>
      <c r="F164" s="19">
        <v>1.72823794</v>
      </c>
      <c r="G164" s="83" t="s">
        <v>180</v>
      </c>
      <c r="H164" s="120">
        <v>241.852</v>
      </c>
      <c r="I164" s="14">
        <f t="shared" si="8"/>
        <v>139.9413786738185</v>
      </c>
    </row>
    <row r="165" spans="1:9" s="24" customFormat="1" ht="12.75" customHeight="1">
      <c r="A165" s="25" t="s">
        <v>94</v>
      </c>
      <c r="B165" s="22">
        <v>2004</v>
      </c>
      <c r="C165" s="25" t="s">
        <v>109</v>
      </c>
      <c r="D165" s="8"/>
      <c r="E165" s="25"/>
      <c r="F165" s="19">
        <v>1.4879693399999998</v>
      </c>
      <c r="G165" s="83" t="s">
        <v>180</v>
      </c>
      <c r="H165" s="120">
        <v>405.901</v>
      </c>
      <c r="I165" s="14">
        <f t="shared" si="8"/>
        <v>272.78855087161946</v>
      </c>
    </row>
    <row r="166" spans="1:9" s="24" customFormat="1" ht="12.75" customHeight="1">
      <c r="A166" s="25" t="s">
        <v>94</v>
      </c>
      <c r="B166" s="22">
        <v>2004</v>
      </c>
      <c r="C166" s="25" t="s">
        <v>130</v>
      </c>
      <c r="D166" s="8"/>
      <c r="E166" s="25"/>
      <c r="F166" s="19">
        <v>1.24921368</v>
      </c>
      <c r="G166" s="83" t="s">
        <v>180</v>
      </c>
      <c r="H166" s="120">
        <v>34.836</v>
      </c>
      <c r="I166" s="14">
        <f t="shared" si="8"/>
        <v>27.886342070797685</v>
      </c>
    </row>
    <row r="167" spans="1:9" s="24" customFormat="1" ht="12.75" customHeight="1">
      <c r="A167" s="25" t="s">
        <v>94</v>
      </c>
      <c r="B167" s="22">
        <v>2004</v>
      </c>
      <c r="C167" s="25" t="s">
        <v>123</v>
      </c>
      <c r="D167" s="8"/>
      <c r="E167" s="25"/>
      <c r="F167" s="19">
        <v>1.1228746099999998</v>
      </c>
      <c r="G167" s="83" t="s">
        <v>180</v>
      </c>
      <c r="H167" s="120">
        <v>284.242</v>
      </c>
      <c r="I167" s="14">
        <f t="shared" si="8"/>
        <v>253.1377924735515</v>
      </c>
    </row>
    <row r="168" spans="1:9" s="24" customFormat="1" ht="12.75" customHeight="1">
      <c r="A168" s="25" t="s">
        <v>94</v>
      </c>
      <c r="B168" s="22">
        <v>2004</v>
      </c>
      <c r="C168" s="25" t="s">
        <v>110</v>
      </c>
      <c r="D168" s="8"/>
      <c r="E168" s="25"/>
      <c r="F168" s="19">
        <v>1.1073633999999999</v>
      </c>
      <c r="G168" s="83" t="s">
        <v>180</v>
      </c>
      <c r="H168" s="120">
        <v>363.595</v>
      </c>
      <c r="I168" s="14">
        <f t="shared" si="8"/>
        <v>328.3429811749242</v>
      </c>
    </row>
    <row r="169" spans="1:9" s="24" customFormat="1" ht="12.75" customHeight="1">
      <c r="A169" s="25" t="s">
        <v>94</v>
      </c>
      <c r="B169" s="22">
        <v>2004</v>
      </c>
      <c r="C169" s="25" t="s">
        <v>100</v>
      </c>
      <c r="D169" s="8"/>
      <c r="E169" s="25"/>
      <c r="F169" s="19">
        <v>0.87407749</v>
      </c>
      <c r="G169" s="83" t="s">
        <v>180</v>
      </c>
      <c r="H169" s="120">
        <v>372.528</v>
      </c>
      <c r="I169" s="14">
        <f t="shared" si="8"/>
        <v>426.1956225414294</v>
      </c>
    </row>
    <row r="170" spans="1:9" s="24" customFormat="1" ht="12.75" customHeight="1">
      <c r="A170" s="25" t="s">
        <v>94</v>
      </c>
      <c r="B170" s="22">
        <v>2004</v>
      </c>
      <c r="C170" s="25" t="s">
        <v>107</v>
      </c>
      <c r="D170" s="8"/>
      <c r="E170" s="25"/>
      <c r="F170" s="19">
        <v>0.8544621799999998</v>
      </c>
      <c r="G170" s="83" t="s">
        <v>180</v>
      </c>
      <c r="H170" s="120">
        <v>229.484</v>
      </c>
      <c r="I170" s="14">
        <f t="shared" si="8"/>
        <v>268.57127836834167</v>
      </c>
    </row>
    <row r="171" spans="1:9" s="24" customFormat="1" ht="12.75" customHeight="1">
      <c r="A171" s="25" t="s">
        <v>94</v>
      </c>
      <c r="B171" s="22">
        <v>2004</v>
      </c>
      <c r="C171" s="25" t="s">
        <v>98</v>
      </c>
      <c r="D171" s="8"/>
      <c r="E171" s="25"/>
      <c r="F171" s="19">
        <v>0.85170943</v>
      </c>
      <c r="G171" s="83" t="s">
        <v>180</v>
      </c>
      <c r="H171" s="120">
        <v>486.499</v>
      </c>
      <c r="I171" s="14">
        <f t="shared" si="8"/>
        <v>571.2030216690216</v>
      </c>
    </row>
    <row r="172" spans="1:9" s="24" customFormat="1" ht="12.75" customHeight="1">
      <c r="A172" s="25" t="s">
        <v>94</v>
      </c>
      <c r="B172" s="22">
        <v>2004</v>
      </c>
      <c r="C172" s="25" t="s">
        <v>108</v>
      </c>
      <c r="D172" s="8"/>
      <c r="E172" s="25"/>
      <c r="F172" s="19">
        <v>0.8027633900000001</v>
      </c>
      <c r="G172" s="83" t="s">
        <v>180</v>
      </c>
      <c r="H172" s="120">
        <v>192.803</v>
      </c>
      <c r="I172" s="14">
        <f t="shared" si="8"/>
        <v>240.17413150841367</v>
      </c>
    </row>
    <row r="173" spans="1:9" s="24" customFormat="1" ht="12.75" customHeight="1">
      <c r="A173" s="25" t="s">
        <v>94</v>
      </c>
      <c r="B173" s="22">
        <v>2004</v>
      </c>
      <c r="C173" s="25" t="s">
        <v>113</v>
      </c>
      <c r="D173" s="8"/>
      <c r="E173" s="25"/>
      <c r="F173" s="19">
        <v>0.69442373</v>
      </c>
      <c r="G173" s="83" t="s">
        <v>180</v>
      </c>
      <c r="H173" s="120">
        <v>296.492</v>
      </c>
      <c r="I173" s="14">
        <f t="shared" si="8"/>
        <v>426.9612157407121</v>
      </c>
    </row>
    <row r="174" spans="1:9" s="24" customFormat="1" ht="12.75" customHeight="1">
      <c r="A174" s="25" t="s">
        <v>94</v>
      </c>
      <c r="B174" s="22">
        <v>2004</v>
      </c>
      <c r="C174" s="25" t="s">
        <v>101</v>
      </c>
      <c r="D174" s="8"/>
      <c r="E174" s="25"/>
      <c r="F174" s="19">
        <v>0.53593111</v>
      </c>
      <c r="G174" s="83" t="s">
        <v>180</v>
      </c>
      <c r="H174" s="120">
        <v>199.373</v>
      </c>
      <c r="I174" s="14">
        <f t="shared" si="8"/>
        <v>372.0123655445193</v>
      </c>
    </row>
    <row r="175" spans="1:9" s="24" customFormat="1" ht="12.75" customHeight="1">
      <c r="A175" s="25" t="s">
        <v>94</v>
      </c>
      <c r="B175" s="22">
        <v>2004</v>
      </c>
      <c r="C175" s="25" t="s">
        <v>126</v>
      </c>
      <c r="D175" s="8"/>
      <c r="E175" s="25"/>
      <c r="F175" s="19">
        <v>0.52739544</v>
      </c>
      <c r="G175" s="83" t="s">
        <v>180</v>
      </c>
      <c r="H175" s="120">
        <v>244.05</v>
      </c>
      <c r="I175" s="14">
        <f t="shared" si="8"/>
        <v>462.74575297806894</v>
      </c>
    </row>
    <row r="176" spans="1:9" s="24" customFormat="1" ht="12.75" customHeight="1">
      <c r="A176" s="25" t="s">
        <v>94</v>
      </c>
      <c r="B176" s="22">
        <v>2004</v>
      </c>
      <c r="C176" s="25" t="s">
        <v>105</v>
      </c>
      <c r="D176" s="8"/>
      <c r="E176" s="25"/>
      <c r="F176" s="19">
        <v>0.40478295</v>
      </c>
      <c r="G176" s="83" t="s">
        <v>181</v>
      </c>
      <c r="H176" s="120">
        <v>349.392</v>
      </c>
      <c r="I176" s="14">
        <f t="shared" si="8"/>
        <v>863.1588855212404</v>
      </c>
    </row>
    <row r="177" spans="1:9" s="24" customFormat="1" ht="12.75" customHeight="1">
      <c r="A177" s="25" t="s">
        <v>94</v>
      </c>
      <c r="B177" s="22">
        <v>2004</v>
      </c>
      <c r="C177" s="25" t="s">
        <v>103</v>
      </c>
      <c r="D177" s="8"/>
      <c r="E177" s="25"/>
      <c r="F177" s="19">
        <v>0.33074327</v>
      </c>
      <c r="G177" s="83" t="s">
        <v>181</v>
      </c>
      <c r="H177" s="120">
        <v>107.724</v>
      </c>
      <c r="I177" s="14">
        <f t="shared" si="8"/>
        <v>325.7027724252712</v>
      </c>
    </row>
    <row r="178" spans="1:9" s="24" customFormat="1" ht="12.75" customHeight="1">
      <c r="A178" s="25" t="s">
        <v>94</v>
      </c>
      <c r="B178" s="22">
        <v>2004</v>
      </c>
      <c r="C178" s="25" t="s">
        <v>149</v>
      </c>
      <c r="D178" s="8"/>
      <c r="E178" s="25"/>
      <c r="F178" s="19">
        <v>0.31271668999999996</v>
      </c>
      <c r="G178" s="83" t="s">
        <v>181</v>
      </c>
      <c r="H178" s="120">
        <v>173.591</v>
      </c>
      <c r="I178" s="14">
        <f t="shared" si="8"/>
        <v>555.106284861227</v>
      </c>
    </row>
    <row r="179" spans="1:9" s="24" customFormat="1" ht="12.75" customHeight="1">
      <c r="A179" s="25" t="s">
        <v>94</v>
      </c>
      <c r="B179" s="22">
        <v>2004</v>
      </c>
      <c r="C179" s="25" t="s">
        <v>106</v>
      </c>
      <c r="D179" s="8"/>
      <c r="E179" s="25"/>
      <c r="F179" s="19">
        <v>0.15716844</v>
      </c>
      <c r="G179" s="83" t="s">
        <v>181</v>
      </c>
      <c r="H179" s="120">
        <v>40.161</v>
      </c>
      <c r="I179" s="14">
        <f t="shared" si="8"/>
        <v>255.52839997648385</v>
      </c>
    </row>
    <row r="180" spans="1:9" s="24" customFormat="1" ht="12.75" customHeight="1">
      <c r="A180" s="25" t="s">
        <v>94</v>
      </c>
      <c r="B180" s="22">
        <v>2004</v>
      </c>
      <c r="C180" s="25" t="s">
        <v>111</v>
      </c>
      <c r="D180" s="8"/>
      <c r="E180" s="25"/>
      <c r="F180" s="19">
        <v>0.12098657999999998</v>
      </c>
      <c r="G180" s="83" t="s">
        <v>181</v>
      </c>
      <c r="H180" s="120">
        <v>40.351</v>
      </c>
      <c r="I180" s="14">
        <f t="shared" si="8"/>
        <v>333.51632883580976</v>
      </c>
    </row>
    <row r="181" spans="1:9" s="24" customFormat="1" ht="12.75" customHeight="1">
      <c r="A181" s="25" t="s">
        <v>94</v>
      </c>
      <c r="B181" s="22">
        <v>2004</v>
      </c>
      <c r="C181" s="25" t="s">
        <v>112</v>
      </c>
      <c r="D181" s="8"/>
      <c r="E181" s="25"/>
      <c r="F181" s="19">
        <v>0.11750595999999999</v>
      </c>
      <c r="G181" s="83" t="s">
        <v>181</v>
      </c>
      <c r="H181" s="120">
        <v>63.712</v>
      </c>
      <c r="I181" s="14">
        <f t="shared" si="8"/>
        <v>542.2022848883581</v>
      </c>
    </row>
    <row r="182" spans="1:9" s="24" customFormat="1" ht="12.75" customHeight="1">
      <c r="A182" s="25" t="s">
        <v>94</v>
      </c>
      <c r="B182" s="22">
        <v>2004</v>
      </c>
      <c r="C182" s="25" t="s">
        <v>561</v>
      </c>
      <c r="D182" s="8"/>
      <c r="E182" s="25"/>
      <c r="F182" s="19">
        <v>0.11093797</v>
      </c>
      <c r="G182" s="83" t="s">
        <v>181</v>
      </c>
      <c r="H182" s="120">
        <v>69.997</v>
      </c>
      <c r="I182" s="14">
        <f t="shared" si="8"/>
        <v>630.9562001179578</v>
      </c>
    </row>
    <row r="183" spans="1:9" s="24" customFormat="1" ht="12.75" customHeight="1">
      <c r="A183" s="25" t="s">
        <v>94</v>
      </c>
      <c r="B183" s="22">
        <v>2004</v>
      </c>
      <c r="C183" s="25" t="s">
        <v>150</v>
      </c>
      <c r="D183" s="8"/>
      <c r="E183" s="25"/>
      <c r="F183" s="19">
        <v>0.108108</v>
      </c>
      <c r="G183" s="83" t="s">
        <v>181</v>
      </c>
      <c r="H183" s="120">
        <v>58.567</v>
      </c>
      <c r="I183" s="14">
        <f t="shared" si="8"/>
        <v>541.7452917452918</v>
      </c>
    </row>
    <row r="184" spans="1:9" s="24" customFormat="1" ht="12.75" customHeight="1">
      <c r="A184" s="25" t="s">
        <v>94</v>
      </c>
      <c r="B184" s="22">
        <v>2004</v>
      </c>
      <c r="C184" s="25" t="s">
        <v>144</v>
      </c>
      <c r="D184" s="8"/>
      <c r="E184" s="25"/>
      <c r="F184" s="19">
        <v>0.061920430000000005</v>
      </c>
      <c r="G184" s="83" t="s">
        <v>181</v>
      </c>
      <c r="H184" s="120">
        <v>9.261</v>
      </c>
      <c r="I184" s="14">
        <f t="shared" si="8"/>
        <v>149.56291485701888</v>
      </c>
    </row>
    <row r="185" spans="1:9" s="24" customFormat="1" ht="12.75" customHeight="1">
      <c r="A185" s="25" t="s">
        <v>94</v>
      </c>
      <c r="B185" s="22">
        <v>2004</v>
      </c>
      <c r="C185" s="25" t="s">
        <v>154</v>
      </c>
      <c r="D185" s="8"/>
      <c r="E185" s="25"/>
      <c r="F185" s="19">
        <v>0.04934929999999999</v>
      </c>
      <c r="G185" s="83" t="s">
        <v>181</v>
      </c>
      <c r="H185" s="120">
        <v>20.735</v>
      </c>
      <c r="I185" s="14">
        <f t="shared" si="8"/>
        <v>420.1680672268908</v>
      </c>
    </row>
    <row r="186" spans="1:9" s="24" customFormat="1" ht="12.75" customHeight="1">
      <c r="A186" s="25" t="s">
        <v>94</v>
      </c>
      <c r="B186" s="22">
        <v>2004</v>
      </c>
      <c r="C186" s="25" t="s">
        <v>157</v>
      </c>
      <c r="D186" s="8"/>
      <c r="E186" s="25"/>
      <c r="F186" s="19">
        <v>0.04585009</v>
      </c>
      <c r="G186" s="83" t="s">
        <v>181</v>
      </c>
      <c r="H186" s="120">
        <v>28.801</v>
      </c>
      <c r="I186" s="14">
        <f t="shared" si="8"/>
        <v>628.1558007846876</v>
      </c>
    </row>
    <row r="187" spans="1:9" s="24" customFormat="1" ht="12.75" customHeight="1">
      <c r="A187" s="25" t="s">
        <v>94</v>
      </c>
      <c r="B187" s="22">
        <v>2004</v>
      </c>
      <c r="C187" s="25" t="s">
        <v>120</v>
      </c>
      <c r="D187" s="8"/>
      <c r="E187" s="25"/>
      <c r="F187" s="19">
        <v>0.04446728</v>
      </c>
      <c r="G187" s="83" t="s">
        <v>181</v>
      </c>
      <c r="H187" s="120">
        <v>6.987</v>
      </c>
      <c r="I187" s="14">
        <f t="shared" si="8"/>
        <v>157.1267682664647</v>
      </c>
    </row>
    <row r="188" spans="1:9" s="24" customFormat="1" ht="12.75" customHeight="1">
      <c r="A188" s="25" t="s">
        <v>94</v>
      </c>
      <c r="B188" s="22">
        <v>2004</v>
      </c>
      <c r="C188" s="25" t="s">
        <v>117</v>
      </c>
      <c r="D188" s="8"/>
      <c r="E188" s="25"/>
      <c r="F188" s="19">
        <v>0.03695406</v>
      </c>
      <c r="G188" s="83" t="s">
        <v>181</v>
      </c>
      <c r="H188" s="120">
        <v>39.575</v>
      </c>
      <c r="I188" s="14">
        <f t="shared" si="8"/>
        <v>1070.9242773324502</v>
      </c>
    </row>
    <row r="189" spans="1:9" s="24" customFormat="1" ht="12.75" customHeight="1">
      <c r="A189" s="25" t="s">
        <v>94</v>
      </c>
      <c r="B189" s="22">
        <v>2004</v>
      </c>
      <c r="C189" s="25" t="s">
        <v>145</v>
      </c>
      <c r="D189" s="8"/>
      <c r="E189" s="25"/>
      <c r="F189" s="19">
        <v>0.029566679999999998</v>
      </c>
      <c r="G189" s="83" t="s">
        <v>181</v>
      </c>
      <c r="H189" s="120">
        <v>9.977</v>
      </c>
      <c r="I189" s="14">
        <f t="shared" si="8"/>
        <v>337.4406595532539</v>
      </c>
    </row>
    <row r="190" spans="1:9" s="24" customFormat="1" ht="12.75" customHeight="1">
      <c r="A190" s="25" t="s">
        <v>94</v>
      </c>
      <c r="B190" s="22">
        <v>2004</v>
      </c>
      <c r="C190" s="25" t="s">
        <v>121</v>
      </c>
      <c r="D190" s="8"/>
      <c r="E190" s="25"/>
      <c r="F190" s="19">
        <v>0.02316314</v>
      </c>
      <c r="G190" s="83" t="s">
        <v>181</v>
      </c>
      <c r="H190" s="120">
        <v>8.809</v>
      </c>
      <c r="I190" s="14">
        <f t="shared" si="8"/>
        <v>380.30249784787384</v>
      </c>
    </row>
    <row r="191" spans="1:9" s="24" customFormat="1" ht="12.75" customHeight="1">
      <c r="A191" s="25" t="s">
        <v>94</v>
      </c>
      <c r="B191" s="22">
        <v>2004</v>
      </c>
      <c r="C191" s="25" t="s">
        <v>148</v>
      </c>
      <c r="D191" s="8"/>
      <c r="E191" s="25"/>
      <c r="F191" s="19">
        <v>0.02105532</v>
      </c>
      <c r="G191" s="83" t="s">
        <v>181</v>
      </c>
      <c r="H191" s="120">
        <v>3.18</v>
      </c>
      <c r="I191" s="14">
        <f t="shared" si="8"/>
        <v>151.03071337790166</v>
      </c>
    </row>
    <row r="192" spans="1:9" s="24" customFormat="1" ht="12.75" customHeight="1">
      <c r="A192" s="25" t="s">
        <v>94</v>
      </c>
      <c r="B192" s="22">
        <v>2004</v>
      </c>
      <c r="C192" s="25" t="s">
        <v>104</v>
      </c>
      <c r="D192" s="8"/>
      <c r="E192" s="25"/>
      <c r="F192" s="19">
        <v>0.01960816</v>
      </c>
      <c r="G192" s="83" t="s">
        <v>181</v>
      </c>
      <c r="H192" s="120">
        <v>16.384</v>
      </c>
      <c r="I192" s="14">
        <f t="shared" si="8"/>
        <v>835.5704971807656</v>
      </c>
    </row>
    <row r="193" spans="1:9" s="24" customFormat="1" ht="12.75" customHeight="1">
      <c r="A193" s="25" t="s">
        <v>94</v>
      </c>
      <c r="B193" s="22">
        <v>2004</v>
      </c>
      <c r="C193" s="25" t="s">
        <v>118</v>
      </c>
      <c r="D193" s="8"/>
      <c r="E193" s="25"/>
      <c r="F193" s="19">
        <v>0.013444859999999998</v>
      </c>
      <c r="G193" s="83" t="s">
        <v>181</v>
      </c>
      <c r="H193" s="120">
        <v>10.422</v>
      </c>
      <c r="I193" s="14">
        <f t="shared" si="8"/>
        <v>775.166122964464</v>
      </c>
    </row>
    <row r="194" spans="1:9" s="24" customFormat="1" ht="12.75" customHeight="1">
      <c r="A194" s="25" t="s">
        <v>94</v>
      </c>
      <c r="B194" s="22">
        <v>2004</v>
      </c>
      <c r="C194" s="25" t="s">
        <v>155</v>
      </c>
      <c r="D194" s="8"/>
      <c r="E194" s="25"/>
      <c r="F194" s="19">
        <v>0.010822239999999999</v>
      </c>
      <c r="G194" s="83" t="s">
        <v>181</v>
      </c>
      <c r="H194" s="120">
        <v>10.869</v>
      </c>
      <c r="I194" s="14">
        <f t="shared" si="8"/>
        <v>1004.3207321220008</v>
      </c>
    </row>
    <row r="195" spans="2:9" s="24" customFormat="1" ht="12.75" customHeight="1">
      <c r="B195" s="5"/>
      <c r="C195" s="31"/>
      <c r="D195" s="27"/>
      <c r="E195" s="27"/>
      <c r="F195" s="90"/>
      <c r="G195" s="87"/>
      <c r="H195" s="128"/>
      <c r="I195" s="26"/>
    </row>
    <row r="196" spans="1:9" s="24" customFormat="1" ht="12.75" customHeight="1">
      <c r="A196" s="24" t="s">
        <v>639</v>
      </c>
      <c r="B196" s="5">
        <v>2003</v>
      </c>
      <c r="C196" s="31" t="s">
        <v>647</v>
      </c>
      <c r="D196" s="27" t="s">
        <v>646</v>
      </c>
      <c r="E196" s="27"/>
      <c r="F196" s="90">
        <v>225</v>
      </c>
      <c r="G196" s="87"/>
      <c r="H196" s="128">
        <v>31480.123157894737</v>
      </c>
      <c r="I196" s="14">
        <f aca="true" t="shared" si="9" ref="I196:I206">$H196/$F196</f>
        <v>139.91165847953218</v>
      </c>
    </row>
    <row r="197" spans="1:9" s="24" customFormat="1" ht="12.75" customHeight="1">
      <c r="A197" s="24" t="s">
        <v>639</v>
      </c>
      <c r="B197" s="5">
        <v>2003</v>
      </c>
      <c r="C197" s="20" t="s">
        <v>467</v>
      </c>
      <c r="D197" s="27" t="s">
        <v>313</v>
      </c>
      <c r="E197" s="27"/>
      <c r="F197" s="90">
        <v>169</v>
      </c>
      <c r="G197" s="87"/>
      <c r="H197" s="128">
        <v>38050.26315789474</v>
      </c>
      <c r="I197" s="14">
        <f t="shared" si="9"/>
        <v>225.149486141389</v>
      </c>
    </row>
    <row r="198" spans="1:9" s="24" customFormat="1" ht="12.75" customHeight="1">
      <c r="A198" s="24" t="s">
        <v>639</v>
      </c>
      <c r="B198" s="5">
        <v>2003</v>
      </c>
      <c r="C198" s="20" t="s">
        <v>467</v>
      </c>
      <c r="D198" s="27" t="s">
        <v>642</v>
      </c>
      <c r="E198" s="27"/>
      <c r="F198" s="90">
        <v>132</v>
      </c>
      <c r="G198" s="87"/>
      <c r="H198" s="128">
        <v>44704.66842105264</v>
      </c>
      <c r="I198" s="14">
        <f t="shared" si="9"/>
        <v>338.67173046252</v>
      </c>
    </row>
    <row r="199" spans="1:9" s="24" customFormat="1" ht="12.75" customHeight="1">
      <c r="A199" s="24" t="s">
        <v>639</v>
      </c>
      <c r="B199" s="5">
        <v>2003</v>
      </c>
      <c r="C199" s="31" t="s">
        <v>15</v>
      </c>
      <c r="D199" s="24" t="s">
        <v>312</v>
      </c>
      <c r="E199" s="27"/>
      <c r="F199" s="90">
        <v>126</v>
      </c>
      <c r="G199" s="87"/>
      <c r="H199" s="128">
        <f>101426/3.8</f>
        <v>26691.05263157895</v>
      </c>
      <c r="I199" s="14">
        <f t="shared" si="9"/>
        <v>211.8337510442774</v>
      </c>
    </row>
    <row r="200" spans="1:9" s="24" customFormat="1" ht="12.75" customHeight="1">
      <c r="A200" s="24" t="s">
        <v>639</v>
      </c>
      <c r="B200" s="5">
        <v>2003</v>
      </c>
      <c r="C200" s="31" t="s">
        <v>464</v>
      </c>
      <c r="D200" s="27" t="s">
        <v>353</v>
      </c>
      <c r="E200" s="27"/>
      <c r="F200" s="90">
        <v>60.9</v>
      </c>
      <c r="G200" s="87"/>
      <c r="H200" s="128">
        <v>18882.39447368421</v>
      </c>
      <c r="I200" s="14">
        <f t="shared" si="9"/>
        <v>310.0557384841414</v>
      </c>
    </row>
    <row r="201" spans="1:9" s="24" customFormat="1" ht="12.75" customHeight="1">
      <c r="A201" s="24" t="s">
        <v>639</v>
      </c>
      <c r="B201" s="5">
        <v>2003</v>
      </c>
      <c r="C201" s="31" t="s">
        <v>720</v>
      </c>
      <c r="D201" s="27" t="s">
        <v>641</v>
      </c>
      <c r="E201" s="27"/>
      <c r="F201" s="90">
        <v>24.8</v>
      </c>
      <c r="G201" s="87"/>
      <c r="H201" s="128">
        <v>9542.310789473684</v>
      </c>
      <c r="I201" s="14">
        <f t="shared" si="9"/>
        <v>384.7705963497453</v>
      </c>
    </row>
    <row r="202" spans="1:9" s="24" customFormat="1" ht="12.75" customHeight="1">
      <c r="A202" s="24" t="s">
        <v>639</v>
      </c>
      <c r="B202" s="5">
        <v>2003</v>
      </c>
      <c r="C202" s="20" t="s">
        <v>467</v>
      </c>
      <c r="D202" s="27" t="s">
        <v>640</v>
      </c>
      <c r="E202" s="27"/>
      <c r="F202" s="90">
        <v>16</v>
      </c>
      <c r="G202" s="87"/>
      <c r="H202" s="128">
        <v>3932.1439473684213</v>
      </c>
      <c r="I202" s="14">
        <f t="shared" si="9"/>
        <v>245.75899671052633</v>
      </c>
    </row>
    <row r="203" spans="1:9" s="24" customFormat="1" ht="12.75" customHeight="1">
      <c r="A203" s="24" t="s">
        <v>639</v>
      </c>
      <c r="B203" s="5">
        <v>2003</v>
      </c>
      <c r="C203" s="20" t="s">
        <v>648</v>
      </c>
      <c r="D203" s="27" t="s">
        <v>643</v>
      </c>
      <c r="E203" s="27"/>
      <c r="F203" s="90">
        <v>2</v>
      </c>
      <c r="G203" s="87"/>
      <c r="H203" s="128">
        <v>637.3684210526316</v>
      </c>
      <c r="I203" s="14">
        <f t="shared" si="9"/>
        <v>318.6842105263158</v>
      </c>
    </row>
    <row r="204" spans="1:9" s="24" customFormat="1" ht="12.75" customHeight="1">
      <c r="A204" s="24" t="s">
        <v>639</v>
      </c>
      <c r="B204" s="5">
        <v>2003</v>
      </c>
      <c r="C204" s="31" t="s">
        <v>12</v>
      </c>
      <c r="D204" s="27" t="s">
        <v>358</v>
      </c>
      <c r="E204" s="27"/>
      <c r="F204" s="90">
        <v>1</v>
      </c>
      <c r="G204" s="87"/>
      <c r="H204" s="128">
        <v>227.3684210526316</v>
      </c>
      <c r="I204" s="14">
        <f t="shared" si="9"/>
        <v>227.3684210526316</v>
      </c>
    </row>
    <row r="205" spans="1:9" s="24" customFormat="1" ht="12.75" customHeight="1">
      <c r="A205" s="24" t="s">
        <v>639</v>
      </c>
      <c r="B205" s="5">
        <v>2003</v>
      </c>
      <c r="C205" s="31" t="s">
        <v>650</v>
      </c>
      <c r="D205" s="27" t="s">
        <v>649</v>
      </c>
      <c r="E205" s="27"/>
      <c r="F205" s="90">
        <v>0.38</v>
      </c>
      <c r="G205" s="87" t="s">
        <v>10</v>
      </c>
      <c r="H205" s="128">
        <v>102.89473684210526</v>
      </c>
      <c r="I205" s="14">
        <f t="shared" si="9"/>
        <v>270.77562326869804</v>
      </c>
    </row>
    <row r="206" spans="1:9" s="24" customFormat="1" ht="12.75" customHeight="1">
      <c r="A206" s="24" t="s">
        <v>639</v>
      </c>
      <c r="B206" s="5">
        <v>2003</v>
      </c>
      <c r="C206" s="31" t="s">
        <v>735</v>
      </c>
      <c r="D206" s="27" t="s">
        <v>683</v>
      </c>
      <c r="E206" s="27"/>
      <c r="F206" s="90">
        <v>0.103</v>
      </c>
      <c r="G206" s="87" t="s">
        <v>10</v>
      </c>
      <c r="H206" s="128">
        <v>33.15789473684211</v>
      </c>
      <c r="I206" s="14">
        <f t="shared" si="9"/>
        <v>321.9213081246807</v>
      </c>
    </row>
    <row r="207" spans="1:9" s="24" customFormat="1" ht="12.75" customHeight="1">
      <c r="A207" s="24" t="s">
        <v>639</v>
      </c>
      <c r="B207" s="5">
        <v>2003</v>
      </c>
      <c r="C207" s="31"/>
      <c r="D207" s="27" t="s">
        <v>482</v>
      </c>
      <c r="E207" s="27"/>
      <c r="F207" s="90">
        <f>237+471</f>
        <v>708</v>
      </c>
      <c r="G207" s="87"/>
      <c r="H207" s="128">
        <f>241632/3.8+72680.7894736842</f>
        <v>136268.15789473683</v>
      </c>
      <c r="I207" s="14">
        <f t="shared" si="8"/>
        <v>192.46914956883734</v>
      </c>
    </row>
    <row r="208" spans="1:10" s="24" customFormat="1" ht="12.75" customHeight="1">
      <c r="A208" s="156"/>
      <c r="B208" s="157"/>
      <c r="C208" s="158"/>
      <c r="D208" s="158"/>
      <c r="E208" s="156"/>
      <c r="F208" s="159"/>
      <c r="G208" s="163"/>
      <c r="H208" s="161"/>
      <c r="I208" s="176"/>
      <c r="J208" s="27"/>
    </row>
    <row r="209" spans="1:10" s="24" customFormat="1" ht="3" customHeight="1">
      <c r="A209" s="156"/>
      <c r="B209" s="157"/>
      <c r="C209" s="158"/>
      <c r="D209" s="158"/>
      <c r="E209" s="156"/>
      <c r="F209" s="159"/>
      <c r="G209" s="163"/>
      <c r="H209" s="161"/>
      <c r="I209" s="176"/>
      <c r="J209" s="27"/>
    </row>
    <row r="210" spans="1:9" s="24" customFormat="1" ht="12.75" customHeight="1">
      <c r="A210" s="24" t="s">
        <v>639</v>
      </c>
      <c r="B210" s="5">
        <v>2004</v>
      </c>
      <c r="C210" s="20" t="s">
        <v>467</v>
      </c>
      <c r="D210" s="27" t="s">
        <v>313</v>
      </c>
      <c r="E210" s="27"/>
      <c r="F210" s="90">
        <v>293</v>
      </c>
      <c r="G210" s="87"/>
      <c r="H210" s="128">
        <v>67262.63157894736</v>
      </c>
      <c r="I210" s="14">
        <f aca="true" t="shared" si="10" ref="I210:I221">$H210/$F210</f>
        <v>229.5652954912879</v>
      </c>
    </row>
    <row r="211" spans="1:9" s="24" customFormat="1" ht="12.75" customHeight="1">
      <c r="A211" s="24" t="s">
        <v>639</v>
      </c>
      <c r="B211" s="5">
        <v>2004</v>
      </c>
      <c r="C211" s="20" t="s">
        <v>467</v>
      </c>
      <c r="D211" s="27" t="s">
        <v>642</v>
      </c>
      <c r="E211" s="27"/>
      <c r="F211" s="90">
        <v>157.6</v>
      </c>
      <c r="G211" s="87"/>
      <c r="H211" s="128">
        <v>53249.643421052635</v>
      </c>
      <c r="I211" s="14">
        <f t="shared" si="10"/>
        <v>337.8784481031259</v>
      </c>
    </row>
    <row r="212" spans="1:9" s="24" customFormat="1" ht="12.75" customHeight="1">
      <c r="A212" s="24" t="s">
        <v>639</v>
      </c>
      <c r="B212" s="5">
        <v>2004</v>
      </c>
      <c r="C212" s="31" t="s">
        <v>647</v>
      </c>
      <c r="D212" s="27" t="s">
        <v>646</v>
      </c>
      <c r="E212" s="27"/>
      <c r="F212" s="90">
        <v>156.8</v>
      </c>
      <c r="G212" s="87"/>
      <c r="H212" s="128">
        <v>43892.33631578948</v>
      </c>
      <c r="I212" s="14">
        <f t="shared" si="10"/>
        <v>279.92561425886146</v>
      </c>
    </row>
    <row r="213" spans="1:9" s="24" customFormat="1" ht="12.75" customHeight="1">
      <c r="A213" s="24" t="s">
        <v>639</v>
      </c>
      <c r="B213" s="5">
        <v>2004</v>
      </c>
      <c r="C213" s="31" t="s">
        <v>464</v>
      </c>
      <c r="D213" s="27" t="s">
        <v>353</v>
      </c>
      <c r="E213" s="27"/>
      <c r="F213" s="90">
        <v>60.06</v>
      </c>
      <c r="G213" s="87"/>
      <c r="H213" s="128">
        <v>19260.165263157898</v>
      </c>
      <c r="I213" s="14">
        <f t="shared" si="10"/>
        <v>320.6820723136513</v>
      </c>
    </row>
    <row r="214" spans="1:9" s="24" customFormat="1" ht="12.75" customHeight="1">
      <c r="A214" s="24" t="s">
        <v>639</v>
      </c>
      <c r="B214" s="5">
        <v>2004</v>
      </c>
      <c r="C214" s="31" t="s">
        <v>15</v>
      </c>
      <c r="D214" s="24" t="s">
        <v>312</v>
      </c>
      <c r="E214" s="27"/>
      <c r="F214" s="90">
        <v>26</v>
      </c>
      <c r="G214" s="87"/>
      <c r="H214" s="128">
        <f>22113/3.8</f>
        <v>5819.21052631579</v>
      </c>
      <c r="I214" s="14">
        <f t="shared" si="10"/>
        <v>223.81578947368422</v>
      </c>
    </row>
    <row r="215" spans="1:9" s="24" customFormat="1" ht="12.75" customHeight="1">
      <c r="A215" s="24" t="s">
        <v>639</v>
      </c>
      <c r="B215" s="5">
        <v>2004</v>
      </c>
      <c r="C215" s="31" t="s">
        <v>720</v>
      </c>
      <c r="D215" s="27" t="s">
        <v>641</v>
      </c>
      <c r="E215" s="27"/>
      <c r="F215" s="90">
        <v>22.18</v>
      </c>
      <c r="G215" s="87"/>
      <c r="H215" s="128">
        <v>9807.256578947368</v>
      </c>
      <c r="I215" s="14">
        <f t="shared" si="10"/>
        <v>442.16666271178394</v>
      </c>
    </row>
    <row r="216" spans="1:9" s="24" customFormat="1" ht="12.75" customHeight="1">
      <c r="A216" s="24" t="s">
        <v>639</v>
      </c>
      <c r="B216" s="5">
        <v>2004</v>
      </c>
      <c r="C216" s="20" t="s">
        <v>467</v>
      </c>
      <c r="D216" s="27" t="s">
        <v>640</v>
      </c>
      <c r="E216" s="27"/>
      <c r="F216" s="90">
        <v>18</v>
      </c>
      <c r="G216" s="87"/>
      <c r="H216" s="128">
        <v>4003.399473684211</v>
      </c>
      <c r="I216" s="14">
        <f t="shared" si="10"/>
        <v>222.41108187134506</v>
      </c>
    </row>
    <row r="217" spans="1:9" s="24" customFormat="1" ht="12.75" customHeight="1">
      <c r="A217" s="24" t="s">
        <v>639</v>
      </c>
      <c r="B217" s="5">
        <v>2004</v>
      </c>
      <c r="C217" s="20" t="s">
        <v>648</v>
      </c>
      <c r="D217" s="27" t="s">
        <v>643</v>
      </c>
      <c r="E217" s="27"/>
      <c r="F217" s="90">
        <v>1</v>
      </c>
      <c r="G217" s="87"/>
      <c r="H217" s="128">
        <v>480.7894736842106</v>
      </c>
      <c r="I217" s="14">
        <f t="shared" si="10"/>
        <v>480.7894736842106</v>
      </c>
    </row>
    <row r="218" spans="1:9" s="24" customFormat="1" ht="12.75" customHeight="1">
      <c r="A218" s="24" t="s">
        <v>639</v>
      </c>
      <c r="B218" s="5">
        <v>2004</v>
      </c>
      <c r="C218" s="31" t="s">
        <v>12</v>
      </c>
      <c r="D218" s="27" t="s">
        <v>358</v>
      </c>
      <c r="E218" s="27"/>
      <c r="F218" s="90">
        <v>1</v>
      </c>
      <c r="G218" s="87"/>
      <c r="H218" s="128">
        <v>210.52631578947367</v>
      </c>
      <c r="I218" s="14">
        <f t="shared" si="10"/>
        <v>210.52631578947367</v>
      </c>
    </row>
    <row r="219" spans="1:9" s="24" customFormat="1" ht="12.75" customHeight="1">
      <c r="A219" s="24" t="s">
        <v>639</v>
      </c>
      <c r="B219" s="5">
        <v>2004</v>
      </c>
      <c r="C219" s="31" t="s">
        <v>735</v>
      </c>
      <c r="D219" s="27" t="s">
        <v>683</v>
      </c>
      <c r="E219" s="27"/>
      <c r="F219" s="90">
        <v>0.124</v>
      </c>
      <c r="G219" s="87" t="s">
        <v>10</v>
      </c>
      <c r="H219" s="128">
        <v>31.05263157894737</v>
      </c>
      <c r="I219" s="14">
        <f t="shared" si="10"/>
        <v>250.4244482173175</v>
      </c>
    </row>
    <row r="220" spans="1:9" s="24" customFormat="1" ht="12.75" customHeight="1">
      <c r="A220" s="24" t="s">
        <v>639</v>
      </c>
      <c r="B220" s="5">
        <v>2004</v>
      </c>
      <c r="C220" s="31" t="s">
        <v>650</v>
      </c>
      <c r="D220" s="27" t="s">
        <v>649</v>
      </c>
      <c r="E220" s="27"/>
      <c r="F220" s="90">
        <v>0.072</v>
      </c>
      <c r="G220" s="87" t="s">
        <v>10</v>
      </c>
      <c r="H220" s="128">
        <v>22.894736842105264</v>
      </c>
      <c r="I220" s="14">
        <f t="shared" si="10"/>
        <v>317.9824561403509</v>
      </c>
    </row>
    <row r="221" spans="1:9" s="24" customFormat="1" ht="12.75" customHeight="1">
      <c r="A221" s="24" t="s">
        <v>639</v>
      </c>
      <c r="B221" s="5">
        <v>2004</v>
      </c>
      <c r="C221" s="31"/>
      <c r="D221" s="27" t="s">
        <v>482</v>
      </c>
      <c r="E221" s="27"/>
      <c r="F221" s="90">
        <f>223+459</f>
        <v>682</v>
      </c>
      <c r="G221" s="87"/>
      <c r="H221" s="128">
        <f>56183.6842105263+76696.8421052632</f>
        <v>132880.5263157895</v>
      </c>
      <c r="I221" s="14">
        <f t="shared" si="10"/>
        <v>194.83948140145088</v>
      </c>
    </row>
    <row r="222" spans="2:9" s="24" customFormat="1" ht="12.75" customHeight="1">
      <c r="B222" s="5"/>
      <c r="C222" s="31"/>
      <c r="D222" s="31"/>
      <c r="E222" s="27"/>
      <c r="F222" s="90"/>
      <c r="G222" s="87"/>
      <c r="H222" s="128"/>
      <c r="I222" s="14"/>
    </row>
    <row r="223" spans="1:9" s="24" customFormat="1" ht="12.75" customHeight="1">
      <c r="A223" s="24" t="s">
        <v>198</v>
      </c>
      <c r="B223" s="5">
        <v>2003</v>
      </c>
      <c r="C223" s="31" t="s">
        <v>5</v>
      </c>
      <c r="D223" s="27" t="s">
        <v>362</v>
      </c>
      <c r="E223" s="27"/>
      <c r="F223" s="90">
        <v>57.788</v>
      </c>
      <c r="G223" s="88"/>
      <c r="H223" s="128">
        <v>46025</v>
      </c>
      <c r="I223" s="26">
        <f aca="true" t="shared" si="11" ref="I223:I254">$H223/$F223</f>
        <v>796.4456288502804</v>
      </c>
    </row>
    <row r="224" spans="1:9" s="24" customFormat="1" ht="12.75" customHeight="1">
      <c r="A224" s="24" t="s">
        <v>198</v>
      </c>
      <c r="B224" s="5">
        <v>2003</v>
      </c>
      <c r="C224" s="31" t="s">
        <v>464</v>
      </c>
      <c r="D224" s="27" t="s">
        <v>408</v>
      </c>
      <c r="E224" s="27"/>
      <c r="F224" s="90">
        <v>26.137</v>
      </c>
      <c r="G224" s="88"/>
      <c r="H224" s="128">
        <v>9409</v>
      </c>
      <c r="I224" s="26">
        <f t="shared" si="11"/>
        <v>359.9877568198339</v>
      </c>
    </row>
    <row r="225" spans="1:9" s="24" customFormat="1" ht="12.75" customHeight="1">
      <c r="A225" s="24" t="s">
        <v>198</v>
      </c>
      <c r="B225" s="5">
        <v>2003</v>
      </c>
      <c r="C225" s="31" t="s">
        <v>69</v>
      </c>
      <c r="D225" s="27" t="s">
        <v>409</v>
      </c>
      <c r="E225" s="27"/>
      <c r="F225" s="90">
        <v>11.455</v>
      </c>
      <c r="G225" s="88"/>
      <c r="H225" s="128">
        <v>4489</v>
      </c>
      <c r="I225" s="26">
        <f t="shared" si="11"/>
        <v>391.8812745525971</v>
      </c>
    </row>
    <row r="226" spans="1:9" s="24" customFormat="1" ht="12.75" customHeight="1">
      <c r="A226" s="24" t="s">
        <v>198</v>
      </c>
      <c r="B226" s="5">
        <v>2003</v>
      </c>
      <c r="C226" s="31" t="s">
        <v>68</v>
      </c>
      <c r="D226" s="27" t="s">
        <v>414</v>
      </c>
      <c r="E226" s="27"/>
      <c r="F226" s="90">
        <v>2.603</v>
      </c>
      <c r="G226" s="88"/>
      <c r="H226" s="128">
        <v>742</v>
      </c>
      <c r="I226" s="26">
        <f t="shared" si="11"/>
        <v>285.0557049558202</v>
      </c>
    </row>
    <row r="227" spans="1:9" s="24" customFormat="1" ht="12.75" customHeight="1">
      <c r="A227" s="24" t="s">
        <v>198</v>
      </c>
      <c r="B227" s="5">
        <v>2003</v>
      </c>
      <c r="C227" s="31" t="s">
        <v>51</v>
      </c>
      <c r="D227" s="27" t="s">
        <v>418</v>
      </c>
      <c r="E227" s="27"/>
      <c r="F227" s="90">
        <v>1.414</v>
      </c>
      <c r="G227" s="88"/>
      <c r="H227" s="128">
        <v>403</v>
      </c>
      <c r="I227" s="26">
        <f t="shared" si="11"/>
        <v>285.007072135785</v>
      </c>
    </row>
    <row r="228" spans="1:9" s="24" customFormat="1" ht="12.75" customHeight="1">
      <c r="A228" s="24" t="s">
        <v>198</v>
      </c>
      <c r="B228" s="5">
        <v>2003</v>
      </c>
      <c r="C228" s="31" t="s">
        <v>53</v>
      </c>
      <c r="D228" s="27" t="s">
        <v>414</v>
      </c>
      <c r="E228" s="27"/>
      <c r="F228" s="90">
        <v>1.169</v>
      </c>
      <c r="G228" s="88"/>
      <c r="H228" s="128">
        <v>333</v>
      </c>
      <c r="I228" s="26">
        <f t="shared" si="11"/>
        <v>284.85885372112915</v>
      </c>
    </row>
    <row r="229" spans="1:9" s="24" customFormat="1" ht="12.75" customHeight="1">
      <c r="A229" s="24" t="s">
        <v>198</v>
      </c>
      <c r="B229" s="5">
        <v>2003</v>
      </c>
      <c r="C229" s="31" t="s">
        <v>49</v>
      </c>
      <c r="D229" s="27" t="s">
        <v>413</v>
      </c>
      <c r="E229" s="27"/>
      <c r="F229" s="90">
        <v>0.241</v>
      </c>
      <c r="G229" s="88" t="s">
        <v>10</v>
      </c>
      <c r="H229" s="128">
        <v>155</v>
      </c>
      <c r="I229" s="26">
        <f t="shared" si="11"/>
        <v>643.1535269709544</v>
      </c>
    </row>
    <row r="230" spans="1:9" s="24" customFormat="1" ht="12.75" customHeight="1">
      <c r="A230" s="24" t="s">
        <v>198</v>
      </c>
      <c r="B230" s="5">
        <v>2003</v>
      </c>
      <c r="C230" s="31" t="s">
        <v>54</v>
      </c>
      <c r="D230" s="27" t="s">
        <v>455</v>
      </c>
      <c r="E230" s="27"/>
      <c r="F230" s="90">
        <v>0.181</v>
      </c>
      <c r="G230" s="88" t="s">
        <v>10</v>
      </c>
      <c r="H230" s="128">
        <v>100</v>
      </c>
      <c r="I230" s="26">
        <f t="shared" si="11"/>
        <v>552.4861878453039</v>
      </c>
    </row>
    <row r="231" spans="1:9" s="24" customFormat="1" ht="12.75" customHeight="1">
      <c r="A231" s="24" t="s">
        <v>198</v>
      </c>
      <c r="B231" s="5">
        <v>2003</v>
      </c>
      <c r="C231" s="31" t="s">
        <v>74</v>
      </c>
      <c r="D231" s="27" t="s">
        <v>419</v>
      </c>
      <c r="E231" s="27"/>
      <c r="F231" s="90">
        <v>0.158</v>
      </c>
      <c r="G231" s="88" t="s">
        <v>10</v>
      </c>
      <c r="H231" s="128">
        <v>45</v>
      </c>
      <c r="I231" s="26">
        <f t="shared" si="11"/>
        <v>284.8101265822785</v>
      </c>
    </row>
    <row r="232" spans="1:9" s="24" customFormat="1" ht="12.75" customHeight="1">
      <c r="A232" s="24" t="s">
        <v>198</v>
      </c>
      <c r="B232" s="5">
        <v>2003</v>
      </c>
      <c r="C232" s="31" t="s">
        <v>202</v>
      </c>
      <c r="D232" s="27" t="s">
        <v>454</v>
      </c>
      <c r="E232" s="27"/>
      <c r="F232" s="90">
        <v>0.071</v>
      </c>
      <c r="G232" s="88" t="s">
        <v>10</v>
      </c>
      <c r="H232" s="128">
        <v>20</v>
      </c>
      <c r="I232" s="26">
        <f t="shared" si="11"/>
        <v>281.69014084507046</v>
      </c>
    </row>
    <row r="233" spans="1:9" s="24" customFormat="1" ht="12.75" customHeight="1">
      <c r="A233" s="24" t="s">
        <v>198</v>
      </c>
      <c r="B233" s="5">
        <v>2003</v>
      </c>
      <c r="C233" s="31" t="s">
        <v>48</v>
      </c>
      <c r="D233" s="27" t="s">
        <v>415</v>
      </c>
      <c r="E233" s="27"/>
      <c r="F233" s="90">
        <v>0.07</v>
      </c>
      <c r="G233" s="88" t="s">
        <v>10</v>
      </c>
      <c r="H233" s="128">
        <v>20</v>
      </c>
      <c r="I233" s="26">
        <f t="shared" si="11"/>
        <v>285.71428571428567</v>
      </c>
    </row>
    <row r="234" spans="1:9" s="24" customFormat="1" ht="12.75" customHeight="1">
      <c r="A234" s="24" t="s">
        <v>198</v>
      </c>
      <c r="B234" s="5">
        <v>2003</v>
      </c>
      <c r="C234" s="31"/>
      <c r="D234" s="27" t="s">
        <v>482</v>
      </c>
      <c r="E234" s="27"/>
      <c r="F234" s="90">
        <v>2.045</v>
      </c>
      <c r="G234" s="88"/>
      <c r="H234" s="128">
        <v>583</v>
      </c>
      <c r="I234" s="26">
        <f t="shared" si="11"/>
        <v>285.08557457212714</v>
      </c>
    </row>
    <row r="235" spans="2:9" s="24" customFormat="1" ht="12.75" customHeight="1">
      <c r="B235" s="5"/>
      <c r="C235" s="31"/>
      <c r="D235" s="27"/>
      <c r="E235" s="27"/>
      <c r="F235" s="90"/>
      <c r="G235" s="88"/>
      <c r="H235" s="128"/>
      <c r="I235" s="26"/>
    </row>
    <row r="236" spans="1:9" s="24" customFormat="1" ht="12.75" customHeight="1">
      <c r="A236" s="24" t="s">
        <v>198</v>
      </c>
      <c r="B236" s="5">
        <v>2004</v>
      </c>
      <c r="C236" s="31" t="s">
        <v>5</v>
      </c>
      <c r="D236" s="27" t="s">
        <v>362</v>
      </c>
      <c r="E236" s="27"/>
      <c r="F236" s="90">
        <v>56.191</v>
      </c>
      <c r="G236" s="88"/>
      <c r="H236" s="128">
        <v>43591</v>
      </c>
      <c r="I236" s="26">
        <f t="shared" si="11"/>
        <v>775.7648021925219</v>
      </c>
    </row>
    <row r="237" spans="1:9" s="24" customFormat="1" ht="12.75" customHeight="1">
      <c r="A237" s="24" t="s">
        <v>198</v>
      </c>
      <c r="B237" s="5">
        <v>2004</v>
      </c>
      <c r="C237" s="31" t="s">
        <v>69</v>
      </c>
      <c r="D237" s="27" t="s">
        <v>409</v>
      </c>
      <c r="E237" s="27"/>
      <c r="F237" s="90">
        <v>6.418</v>
      </c>
      <c r="G237" s="88"/>
      <c r="H237" s="128">
        <v>2630</v>
      </c>
      <c r="I237" s="26">
        <f t="shared" si="11"/>
        <v>409.78497974446867</v>
      </c>
    </row>
    <row r="238" spans="1:9" s="24" customFormat="1" ht="12.75" customHeight="1">
      <c r="A238" s="24" t="s">
        <v>198</v>
      </c>
      <c r="B238" s="5">
        <v>2004</v>
      </c>
      <c r="C238" s="31" t="s">
        <v>68</v>
      </c>
      <c r="D238" s="27" t="s">
        <v>414</v>
      </c>
      <c r="E238" s="27"/>
      <c r="F238" s="90">
        <v>0.953</v>
      </c>
      <c r="G238" s="88"/>
      <c r="H238" s="128">
        <v>321</v>
      </c>
      <c r="I238" s="26">
        <f t="shared" si="11"/>
        <v>336.83105981112277</v>
      </c>
    </row>
    <row r="239" spans="1:9" s="24" customFormat="1" ht="12.75" customHeight="1">
      <c r="A239" s="24" t="s">
        <v>198</v>
      </c>
      <c r="B239" s="5">
        <v>2004</v>
      </c>
      <c r="C239" s="31" t="s">
        <v>464</v>
      </c>
      <c r="D239" s="27" t="s">
        <v>408</v>
      </c>
      <c r="E239" s="27"/>
      <c r="F239" s="90">
        <v>0.471</v>
      </c>
      <c r="G239" s="88"/>
      <c r="H239" s="128">
        <v>114</v>
      </c>
      <c r="I239" s="26">
        <f t="shared" si="11"/>
        <v>242.03821656050957</v>
      </c>
    </row>
    <row r="240" spans="1:9" s="24" customFormat="1" ht="12.75" customHeight="1">
      <c r="A240" s="24" t="s">
        <v>198</v>
      </c>
      <c r="B240" s="5">
        <v>2004</v>
      </c>
      <c r="C240" s="31" t="s">
        <v>54</v>
      </c>
      <c r="D240" s="27" t="s">
        <v>455</v>
      </c>
      <c r="E240" s="27"/>
      <c r="F240" s="90">
        <v>0.106</v>
      </c>
      <c r="G240" s="88"/>
      <c r="H240" s="128">
        <v>31</v>
      </c>
      <c r="I240" s="26">
        <f aca="true" t="shared" si="12" ref="I240:I249">$H240/$F240</f>
        <v>292.45283018867923</v>
      </c>
    </row>
    <row r="241" spans="1:9" s="24" customFormat="1" ht="12.75" customHeight="1">
      <c r="A241" s="24" t="s">
        <v>198</v>
      </c>
      <c r="B241" s="5">
        <v>2004</v>
      </c>
      <c r="C241" s="31" t="s">
        <v>70</v>
      </c>
      <c r="D241" s="27" t="s">
        <v>410</v>
      </c>
      <c r="E241" s="27"/>
      <c r="F241" s="90">
        <v>0.092</v>
      </c>
      <c r="G241" s="88" t="s">
        <v>10</v>
      </c>
      <c r="H241" s="128">
        <v>188</v>
      </c>
      <c r="I241" s="26">
        <f t="shared" si="12"/>
        <v>2043.4782608695652</v>
      </c>
    </row>
    <row r="242" spans="1:9" s="24" customFormat="1" ht="12.75" customHeight="1">
      <c r="A242" s="24" t="s">
        <v>198</v>
      </c>
      <c r="B242" s="5">
        <v>2004</v>
      </c>
      <c r="C242" s="31" t="s">
        <v>199</v>
      </c>
      <c r="D242" s="27" t="s">
        <v>411</v>
      </c>
      <c r="E242" s="27"/>
      <c r="F242" s="90">
        <v>0.084</v>
      </c>
      <c r="G242" s="88" t="s">
        <v>10</v>
      </c>
      <c r="H242" s="128">
        <v>8</v>
      </c>
      <c r="I242" s="26">
        <f t="shared" si="12"/>
        <v>95.23809523809523</v>
      </c>
    </row>
    <row r="243" spans="1:9" s="24" customFormat="1" ht="12.75" customHeight="1">
      <c r="A243" s="24" t="s">
        <v>198</v>
      </c>
      <c r="B243" s="5">
        <v>2004</v>
      </c>
      <c r="C243" s="31" t="s">
        <v>48</v>
      </c>
      <c r="D243" s="27" t="s">
        <v>415</v>
      </c>
      <c r="E243" s="27"/>
      <c r="F243" s="90">
        <v>0.081</v>
      </c>
      <c r="G243" s="88" t="s">
        <v>10</v>
      </c>
      <c r="H243" s="128">
        <v>22</v>
      </c>
      <c r="I243" s="26">
        <f t="shared" si="12"/>
        <v>271.6049382716049</v>
      </c>
    </row>
    <row r="244" spans="1:9" ht="12.75" customHeight="1">
      <c r="A244" s="24" t="s">
        <v>198</v>
      </c>
      <c r="B244" s="5">
        <v>2004</v>
      </c>
      <c r="C244" s="31" t="s">
        <v>51</v>
      </c>
      <c r="D244" s="27" t="s">
        <v>418</v>
      </c>
      <c r="E244" s="27"/>
      <c r="F244" s="90">
        <v>0.055</v>
      </c>
      <c r="G244" s="88" t="s">
        <v>10</v>
      </c>
      <c r="H244" s="128">
        <v>35</v>
      </c>
      <c r="I244" s="26">
        <f t="shared" si="12"/>
        <v>636.3636363636364</v>
      </c>
    </row>
    <row r="245" spans="1:9" ht="12.75" customHeight="1">
      <c r="A245" s="24" t="s">
        <v>198</v>
      </c>
      <c r="B245" s="5">
        <v>2004</v>
      </c>
      <c r="C245" s="31" t="s">
        <v>53</v>
      </c>
      <c r="D245" s="27" t="s">
        <v>414</v>
      </c>
      <c r="E245" s="27"/>
      <c r="F245" s="90">
        <v>0.037</v>
      </c>
      <c r="G245" s="88" t="s">
        <v>10</v>
      </c>
      <c r="H245" s="128">
        <v>18</v>
      </c>
      <c r="I245" s="26">
        <f t="shared" si="12"/>
        <v>486.4864864864865</v>
      </c>
    </row>
    <row r="246" spans="1:9" ht="12.75" customHeight="1">
      <c r="A246" s="24" t="s">
        <v>198</v>
      </c>
      <c r="B246" s="5">
        <v>2004</v>
      </c>
      <c r="C246" s="31" t="s">
        <v>49</v>
      </c>
      <c r="D246" s="27" t="s">
        <v>413</v>
      </c>
      <c r="E246" s="27"/>
      <c r="F246" s="90">
        <v>0.027</v>
      </c>
      <c r="G246" s="88" t="s">
        <v>10</v>
      </c>
      <c r="H246" s="128">
        <v>9</v>
      </c>
      <c r="I246" s="26">
        <f t="shared" si="12"/>
        <v>333.3333333333333</v>
      </c>
    </row>
    <row r="247" spans="1:9" ht="12.75" customHeight="1">
      <c r="A247" s="24" t="s">
        <v>198</v>
      </c>
      <c r="B247" s="5">
        <v>2004</v>
      </c>
      <c r="C247" s="31" t="s">
        <v>74</v>
      </c>
      <c r="D247" s="27" t="s">
        <v>419</v>
      </c>
      <c r="E247" s="27"/>
      <c r="F247" s="90">
        <v>0.024</v>
      </c>
      <c r="G247" s="88" t="s">
        <v>10</v>
      </c>
      <c r="H247" s="128">
        <v>8</v>
      </c>
      <c r="I247" s="26">
        <f t="shared" si="12"/>
        <v>333.3333333333333</v>
      </c>
    </row>
    <row r="248" spans="1:9" ht="12.75" customHeight="1">
      <c r="A248" s="24" t="s">
        <v>198</v>
      </c>
      <c r="B248" s="5">
        <v>2004</v>
      </c>
      <c r="C248" s="31" t="s">
        <v>202</v>
      </c>
      <c r="D248" s="27" t="s">
        <v>454</v>
      </c>
      <c r="E248" s="27"/>
      <c r="F248" s="90">
        <v>0.007</v>
      </c>
      <c r="G248" s="88" t="s">
        <v>10</v>
      </c>
      <c r="H248" s="128">
        <v>3</v>
      </c>
      <c r="I248" s="26">
        <f t="shared" si="12"/>
        <v>428.57142857142856</v>
      </c>
    </row>
    <row r="249" spans="1:9" ht="12.75" customHeight="1">
      <c r="A249" s="24" t="s">
        <v>198</v>
      </c>
      <c r="B249" s="5">
        <v>2004</v>
      </c>
      <c r="C249" s="31" t="s">
        <v>486</v>
      </c>
      <c r="D249" s="27" t="s">
        <v>487</v>
      </c>
      <c r="E249" s="27"/>
      <c r="F249" s="90">
        <v>0.003</v>
      </c>
      <c r="G249" s="88" t="s">
        <v>10</v>
      </c>
      <c r="H249" s="128">
        <v>1</v>
      </c>
      <c r="I249" s="26">
        <f t="shared" si="12"/>
        <v>333.3333333333333</v>
      </c>
    </row>
    <row r="250" spans="1:9" ht="12.75" customHeight="1">
      <c r="A250" s="24" t="s">
        <v>198</v>
      </c>
      <c r="B250" s="5">
        <v>2004</v>
      </c>
      <c r="C250" s="31"/>
      <c r="D250" s="27" t="s">
        <v>482</v>
      </c>
      <c r="E250" s="27"/>
      <c r="F250" s="90">
        <v>0.181</v>
      </c>
      <c r="G250" s="88" t="s">
        <v>10</v>
      </c>
      <c r="H250" s="128">
        <v>1263</v>
      </c>
      <c r="I250" s="59" t="s">
        <v>71</v>
      </c>
    </row>
    <row r="251" spans="1:9" ht="12.75" customHeight="1">
      <c r="A251" s="24"/>
      <c r="C251" s="31"/>
      <c r="D251" s="27"/>
      <c r="E251" s="27"/>
      <c r="F251" s="90"/>
      <c r="G251" s="88"/>
      <c r="H251" s="128"/>
      <c r="I251" s="26"/>
    </row>
    <row r="252" spans="1:9" ht="12.75" customHeight="1">
      <c r="A252" s="1" t="s">
        <v>24</v>
      </c>
      <c r="B252" s="22">
        <v>2003</v>
      </c>
      <c r="C252" s="20" t="s">
        <v>79</v>
      </c>
      <c r="D252" s="10" t="s">
        <v>382</v>
      </c>
      <c r="E252" s="41"/>
      <c r="F252" s="35">
        <v>26</v>
      </c>
      <c r="H252" s="138">
        <v>1771</v>
      </c>
      <c r="I252" s="14">
        <f t="shared" si="11"/>
        <v>68.11538461538461</v>
      </c>
    </row>
    <row r="253" spans="2:5" ht="12.75" customHeight="1">
      <c r="B253" s="22"/>
      <c r="C253" s="2"/>
      <c r="D253" s="1"/>
      <c r="E253" s="41"/>
    </row>
    <row r="254" spans="1:9" ht="12.75" customHeight="1">
      <c r="A254" s="1" t="s">
        <v>24</v>
      </c>
      <c r="B254" s="22">
        <v>2004</v>
      </c>
      <c r="C254" s="20" t="s">
        <v>79</v>
      </c>
      <c r="D254" s="10" t="s">
        <v>382</v>
      </c>
      <c r="E254" s="41"/>
      <c r="F254" s="35">
        <v>42</v>
      </c>
      <c r="H254" s="138">
        <v>2849</v>
      </c>
      <c r="I254" s="14">
        <f t="shared" si="11"/>
        <v>67.83333333333333</v>
      </c>
    </row>
    <row r="255" spans="2:5" ht="12.75" customHeight="1">
      <c r="B255" s="22"/>
      <c r="C255" s="2"/>
      <c r="D255" s="1"/>
      <c r="E255" s="41"/>
    </row>
    <row r="256" spans="1:9" ht="12.75" customHeight="1">
      <c r="A256" s="1" t="s">
        <v>293</v>
      </c>
      <c r="B256" s="22">
        <v>2003</v>
      </c>
      <c r="C256" s="37" t="s">
        <v>740</v>
      </c>
      <c r="D256" s="11" t="s">
        <v>732</v>
      </c>
      <c r="E256" s="41"/>
      <c r="F256" s="35">
        <v>1064.806</v>
      </c>
      <c r="I256" s="14">
        <f>172536.7313/F256</f>
        <v>162.03583685666686</v>
      </c>
    </row>
    <row r="257" spans="1:9" ht="12.75" customHeight="1">
      <c r="A257" s="1" t="s">
        <v>293</v>
      </c>
      <c r="B257" s="22">
        <v>2003</v>
      </c>
      <c r="C257" s="37" t="s">
        <v>5</v>
      </c>
      <c r="D257" s="11" t="s">
        <v>362</v>
      </c>
      <c r="E257" s="41"/>
      <c r="F257" s="35">
        <v>5.445</v>
      </c>
      <c r="I257" s="14">
        <f>14440.8667/F257</f>
        <v>2652.1334618916435</v>
      </c>
    </row>
    <row r="258" spans="1:9" ht="12.75" customHeight="1">
      <c r="A258" s="1" t="s">
        <v>293</v>
      </c>
      <c r="B258" s="22">
        <v>2003</v>
      </c>
      <c r="C258" s="37" t="s">
        <v>49</v>
      </c>
      <c r="D258" s="11" t="s">
        <v>733</v>
      </c>
      <c r="E258" s="41"/>
      <c r="F258" s="35">
        <v>2.853</v>
      </c>
      <c r="I258" s="14">
        <f>2514.2919/F258</f>
        <v>881.2800210304943</v>
      </c>
    </row>
    <row r="259" spans="1:9" ht="12.75" customHeight="1">
      <c r="A259" s="1" t="s">
        <v>293</v>
      </c>
      <c r="B259" s="22">
        <v>2003</v>
      </c>
      <c r="C259" s="37" t="s">
        <v>652</v>
      </c>
      <c r="D259" s="11" t="s">
        <v>734</v>
      </c>
      <c r="E259" s="41"/>
      <c r="F259" s="35">
        <v>0.058</v>
      </c>
      <c r="G259" s="88" t="s">
        <v>10</v>
      </c>
      <c r="I259" s="14">
        <f>20.9646/F259</f>
        <v>361.45862068965516</v>
      </c>
    </row>
    <row r="260" spans="1:9" ht="12.75" customHeight="1">
      <c r="A260" s="1" t="s">
        <v>293</v>
      </c>
      <c r="B260" s="22">
        <v>2003</v>
      </c>
      <c r="C260" s="2"/>
      <c r="D260" s="1" t="s">
        <v>482</v>
      </c>
      <c r="E260" s="41"/>
      <c r="F260" s="35">
        <v>30.928</v>
      </c>
      <c r="I260" s="14">
        <f>38467.6547/F260</f>
        <v>1243.7808684687013</v>
      </c>
    </row>
    <row r="261" spans="2:5" ht="12.75" customHeight="1">
      <c r="B261" s="22"/>
      <c r="C261" s="2"/>
      <c r="D261" s="1"/>
      <c r="E261" s="41"/>
    </row>
    <row r="262" spans="1:9" ht="12.75" customHeight="1">
      <c r="A262" s="1" t="s">
        <v>293</v>
      </c>
      <c r="B262" s="22">
        <v>2004</v>
      </c>
      <c r="C262" s="37" t="s">
        <v>740</v>
      </c>
      <c r="D262" s="11" t="s">
        <v>732</v>
      </c>
      <c r="E262" s="41"/>
      <c r="F262" s="35">
        <v>1742.763</v>
      </c>
      <c r="I262" s="14">
        <f>231809.3821/F262</f>
        <v>133.01256803133873</v>
      </c>
    </row>
    <row r="263" spans="1:9" ht="12.75" customHeight="1">
      <c r="A263" s="1" t="s">
        <v>293</v>
      </c>
      <c r="B263" s="22">
        <v>2004</v>
      </c>
      <c r="C263" s="37" t="s">
        <v>5</v>
      </c>
      <c r="D263" s="11" t="s">
        <v>362</v>
      </c>
      <c r="E263" s="41"/>
      <c r="F263" s="35">
        <v>6.69</v>
      </c>
      <c r="I263" s="14">
        <f>16689.3762/F263</f>
        <v>2494.6750672645735</v>
      </c>
    </row>
    <row r="264" spans="1:9" s="3" customFormat="1" ht="12.75" customHeight="1">
      <c r="A264" s="1" t="s">
        <v>293</v>
      </c>
      <c r="B264" s="22">
        <v>2004</v>
      </c>
      <c r="C264" s="37" t="s">
        <v>49</v>
      </c>
      <c r="D264" s="1" t="s">
        <v>686</v>
      </c>
      <c r="E264" s="308"/>
      <c r="F264" s="309">
        <v>1.732</v>
      </c>
      <c r="G264" s="310"/>
      <c r="H264" s="311"/>
      <c r="I264" s="309">
        <f>1997.549/F264</f>
        <v>1153.3192840646652</v>
      </c>
    </row>
    <row r="265" spans="1:9" ht="12.75" customHeight="1">
      <c r="A265" s="11" t="s">
        <v>293</v>
      </c>
      <c r="B265" s="36">
        <v>2004</v>
      </c>
      <c r="C265" s="99" t="s">
        <v>652</v>
      </c>
      <c r="D265" s="1" t="s">
        <v>734</v>
      </c>
      <c r="E265" s="41"/>
      <c r="F265" s="35">
        <v>0.002</v>
      </c>
      <c r="G265" s="88" t="s">
        <v>10</v>
      </c>
      <c r="I265" s="14">
        <f>0.5974/F265</f>
        <v>298.7</v>
      </c>
    </row>
    <row r="266" spans="1:9" ht="12.75" customHeight="1">
      <c r="A266" s="1" t="s">
        <v>293</v>
      </c>
      <c r="B266" s="22">
        <v>2004</v>
      </c>
      <c r="C266" s="2"/>
      <c r="D266" s="1" t="s">
        <v>482</v>
      </c>
      <c r="E266" s="41"/>
      <c r="F266" s="35">
        <v>34.79</v>
      </c>
      <c r="I266" s="14">
        <f>44498.0039/F266</f>
        <v>1279.045814889336</v>
      </c>
    </row>
    <row r="267" spans="2:5" ht="12.75" customHeight="1">
      <c r="B267" s="22"/>
      <c r="C267" s="2"/>
      <c r="D267" s="1"/>
      <c r="E267" s="41"/>
    </row>
    <row r="268" spans="2:5" ht="3" customHeight="1">
      <c r="B268" s="22"/>
      <c r="C268" s="2"/>
      <c r="D268" s="1"/>
      <c r="E268" s="41"/>
    </row>
    <row r="269" spans="1:9" ht="12.75" customHeight="1">
      <c r="A269" s="8" t="s">
        <v>27</v>
      </c>
      <c r="B269" s="22">
        <v>2003</v>
      </c>
      <c r="C269" s="9" t="s">
        <v>659</v>
      </c>
      <c r="D269" s="10" t="s">
        <v>317</v>
      </c>
      <c r="E269" s="39"/>
      <c r="F269" s="150">
        <v>12.867</v>
      </c>
      <c r="G269" s="79"/>
      <c r="H269" s="123">
        <v>6840.649</v>
      </c>
      <c r="I269" s="15">
        <f aca="true" t="shared" si="13" ref="I269:I277">H269/F269</f>
        <v>531.642884899355</v>
      </c>
    </row>
    <row r="270" spans="1:9" ht="12.75" customHeight="1">
      <c r="A270" s="8" t="s">
        <v>27</v>
      </c>
      <c r="B270" s="22">
        <v>2003</v>
      </c>
      <c r="C270" s="9" t="s">
        <v>660</v>
      </c>
      <c r="D270" s="10" t="s">
        <v>423</v>
      </c>
      <c r="E270" s="39"/>
      <c r="F270" s="150">
        <v>11.187</v>
      </c>
      <c r="G270" s="79"/>
      <c r="H270" s="123">
        <v>10269.861</v>
      </c>
      <c r="I270" s="15">
        <f t="shared" si="13"/>
        <v>918.0174309466346</v>
      </c>
    </row>
    <row r="271" spans="1:9" ht="12.75" customHeight="1">
      <c r="A271" s="8" t="s">
        <v>27</v>
      </c>
      <c r="B271" s="22">
        <v>2003</v>
      </c>
      <c r="C271" s="9" t="s">
        <v>205</v>
      </c>
      <c r="D271" s="10" t="s">
        <v>368</v>
      </c>
      <c r="E271" s="39"/>
      <c r="F271" s="150">
        <v>1.791</v>
      </c>
      <c r="G271" s="79"/>
      <c r="H271" s="123">
        <v>822.807</v>
      </c>
      <c r="I271" s="15">
        <f t="shared" si="13"/>
        <v>459.41206030150755</v>
      </c>
    </row>
    <row r="272" spans="1:9" ht="12.75" customHeight="1">
      <c r="A272" s="8" t="s">
        <v>27</v>
      </c>
      <c r="B272" s="22">
        <v>2003</v>
      </c>
      <c r="C272" s="9" t="s">
        <v>661</v>
      </c>
      <c r="D272" s="10" t="s">
        <v>662</v>
      </c>
      <c r="E272" s="39"/>
      <c r="F272" s="150">
        <v>2.032</v>
      </c>
      <c r="G272" s="79"/>
      <c r="H272" s="123">
        <v>1095.482</v>
      </c>
      <c r="I272" s="15">
        <f t="shared" si="13"/>
        <v>539.1151574803149</v>
      </c>
    </row>
    <row r="273" spans="1:9" ht="12.75" customHeight="1">
      <c r="A273" s="8" t="s">
        <v>27</v>
      </c>
      <c r="B273" s="22">
        <v>2003</v>
      </c>
      <c r="C273" s="9" t="s">
        <v>203</v>
      </c>
      <c r="D273" s="10" t="s">
        <v>421</v>
      </c>
      <c r="E273" s="39"/>
      <c r="F273" s="150">
        <v>1.205</v>
      </c>
      <c r="G273" s="79"/>
      <c r="H273" s="123">
        <v>356.744</v>
      </c>
      <c r="I273" s="15">
        <f t="shared" si="13"/>
        <v>296.053112033195</v>
      </c>
    </row>
    <row r="274" spans="1:9" ht="12.75" customHeight="1">
      <c r="A274" s="8" t="s">
        <v>27</v>
      </c>
      <c r="B274" s="22">
        <v>2003</v>
      </c>
      <c r="C274" s="9" t="s">
        <v>663</v>
      </c>
      <c r="D274" s="10" t="s">
        <v>664</v>
      </c>
      <c r="E274" s="39"/>
      <c r="F274" s="150">
        <v>1.299</v>
      </c>
      <c r="G274" s="79"/>
      <c r="H274" s="123">
        <v>439.724</v>
      </c>
      <c r="I274" s="15">
        <f t="shared" si="13"/>
        <v>338.50962278675905</v>
      </c>
    </row>
    <row r="275" spans="1:9" ht="12.75" customHeight="1">
      <c r="A275" s="8" t="s">
        <v>27</v>
      </c>
      <c r="B275" s="22">
        <v>2003</v>
      </c>
      <c r="C275" s="9" t="s">
        <v>665</v>
      </c>
      <c r="D275" s="10" t="s">
        <v>666</v>
      </c>
      <c r="E275" s="39"/>
      <c r="F275" s="150">
        <v>2.428</v>
      </c>
      <c r="G275" s="79"/>
      <c r="H275" s="123">
        <v>1077.406</v>
      </c>
      <c r="I275" s="15">
        <f t="shared" si="13"/>
        <v>443.74217462932455</v>
      </c>
    </row>
    <row r="276" spans="1:9" ht="12.75" customHeight="1">
      <c r="A276" s="8" t="s">
        <v>27</v>
      </c>
      <c r="B276" s="22">
        <v>2003</v>
      </c>
      <c r="C276" s="9" t="s">
        <v>667</v>
      </c>
      <c r="D276" s="10" t="s">
        <v>668</v>
      </c>
      <c r="E276" s="39"/>
      <c r="F276" s="150">
        <v>0.506</v>
      </c>
      <c r="G276" s="79"/>
      <c r="H276" s="123">
        <v>416.184</v>
      </c>
      <c r="I276" s="15">
        <f t="shared" si="13"/>
        <v>822.4980237154151</v>
      </c>
    </row>
    <row r="277" spans="1:9" ht="12.75" customHeight="1">
      <c r="A277" s="8" t="s">
        <v>27</v>
      </c>
      <c r="B277" s="22">
        <v>2003</v>
      </c>
      <c r="C277" s="38"/>
      <c r="D277" s="10" t="s">
        <v>482</v>
      </c>
      <c r="E277" s="39"/>
      <c r="F277" s="150">
        <v>9.283</v>
      </c>
      <c r="G277" s="79"/>
      <c r="H277" s="123">
        <v>2877.678</v>
      </c>
      <c r="I277" s="15">
        <f t="shared" si="13"/>
        <v>309.9943983625983</v>
      </c>
    </row>
    <row r="278" spans="1:9" ht="12.75" customHeight="1">
      <c r="A278" s="8"/>
      <c r="B278" s="22"/>
      <c r="C278" s="38"/>
      <c r="D278" s="39"/>
      <c r="E278" s="39"/>
      <c r="F278" s="40"/>
      <c r="G278" s="79"/>
      <c r="H278" s="123"/>
      <c r="I278" s="15"/>
    </row>
    <row r="279" spans="1:9" ht="12.75" customHeight="1">
      <c r="A279" s="8" t="s">
        <v>27</v>
      </c>
      <c r="B279" s="22">
        <v>2004</v>
      </c>
      <c r="C279" s="9" t="s">
        <v>659</v>
      </c>
      <c r="D279" s="10" t="s">
        <v>317</v>
      </c>
      <c r="E279" s="39"/>
      <c r="F279" s="150">
        <v>15.877</v>
      </c>
      <c r="G279" s="79"/>
      <c r="H279" s="123">
        <v>8368.849</v>
      </c>
      <c r="I279" s="15">
        <f aca="true" t="shared" si="14" ref="I279:I287">H279/F279</f>
        <v>527.1051835989167</v>
      </c>
    </row>
    <row r="280" spans="1:9" ht="12.75" customHeight="1">
      <c r="A280" s="8" t="s">
        <v>27</v>
      </c>
      <c r="B280" s="22">
        <v>2004</v>
      </c>
      <c r="C280" s="9" t="s">
        <v>660</v>
      </c>
      <c r="D280" s="10" t="s">
        <v>423</v>
      </c>
      <c r="E280" s="39"/>
      <c r="F280" s="150">
        <v>9.012</v>
      </c>
      <c r="G280" s="79"/>
      <c r="H280" s="123">
        <v>8875.056</v>
      </c>
      <c r="I280" s="15">
        <f t="shared" si="14"/>
        <v>984.8042609853528</v>
      </c>
    </row>
    <row r="281" spans="1:9" ht="12.75" customHeight="1">
      <c r="A281" s="8" t="s">
        <v>27</v>
      </c>
      <c r="B281" s="22">
        <v>2004</v>
      </c>
      <c r="C281" s="9" t="s">
        <v>205</v>
      </c>
      <c r="D281" s="10" t="s">
        <v>368</v>
      </c>
      <c r="E281" s="39"/>
      <c r="F281" s="150">
        <v>7.106</v>
      </c>
      <c r="G281" s="79"/>
      <c r="H281" s="123">
        <v>2450.453</v>
      </c>
      <c r="I281" s="15">
        <f t="shared" si="14"/>
        <v>344.8428088938925</v>
      </c>
    </row>
    <row r="282" spans="1:9" ht="12.75" customHeight="1">
      <c r="A282" s="8" t="s">
        <v>27</v>
      </c>
      <c r="B282" s="22">
        <v>2004</v>
      </c>
      <c r="C282" s="9" t="s">
        <v>661</v>
      </c>
      <c r="D282" s="10" t="s">
        <v>662</v>
      </c>
      <c r="E282" s="39"/>
      <c r="F282" s="150">
        <v>2.82</v>
      </c>
      <c r="G282" s="79"/>
      <c r="H282" s="123">
        <v>1144.08</v>
      </c>
      <c r="I282" s="15">
        <f t="shared" si="14"/>
        <v>405.70212765957444</v>
      </c>
    </row>
    <row r="283" spans="1:9" ht="12.75" customHeight="1">
      <c r="A283" s="8" t="s">
        <v>27</v>
      </c>
      <c r="B283" s="22">
        <v>2004</v>
      </c>
      <c r="C283" s="9" t="s">
        <v>203</v>
      </c>
      <c r="D283" s="10" t="s">
        <v>421</v>
      </c>
      <c r="E283" s="39"/>
      <c r="F283" s="150">
        <v>2.537</v>
      </c>
      <c r="G283" s="79"/>
      <c r="H283" s="123">
        <v>162.987</v>
      </c>
      <c r="I283" s="15">
        <f t="shared" si="14"/>
        <v>64.24398896334253</v>
      </c>
    </row>
    <row r="284" spans="1:9" ht="12.75" customHeight="1">
      <c r="A284" s="8" t="s">
        <v>27</v>
      </c>
      <c r="B284" s="22">
        <v>2004</v>
      </c>
      <c r="C284" s="9" t="s">
        <v>663</v>
      </c>
      <c r="D284" s="10" t="s">
        <v>664</v>
      </c>
      <c r="E284" s="39"/>
      <c r="F284" s="150">
        <v>2.517</v>
      </c>
      <c r="G284" s="79"/>
      <c r="H284" s="123">
        <v>877.247</v>
      </c>
      <c r="I284" s="15">
        <f t="shared" si="14"/>
        <v>348.52880413190303</v>
      </c>
    </row>
    <row r="285" spans="1:9" ht="12.75" customHeight="1">
      <c r="A285" s="8" t="s">
        <v>27</v>
      </c>
      <c r="B285" s="22">
        <v>2004</v>
      </c>
      <c r="C285" s="9" t="s">
        <v>665</v>
      </c>
      <c r="D285" s="10" t="s">
        <v>666</v>
      </c>
      <c r="E285" s="39"/>
      <c r="F285" s="150">
        <v>1.419</v>
      </c>
      <c r="G285" s="79"/>
      <c r="H285" s="123">
        <v>590.136</v>
      </c>
      <c r="I285" s="15">
        <f t="shared" si="14"/>
        <v>415.88160676532766</v>
      </c>
    </row>
    <row r="286" spans="1:9" ht="12.75" customHeight="1">
      <c r="A286" s="8" t="s">
        <v>27</v>
      </c>
      <c r="B286" s="22">
        <v>2004</v>
      </c>
      <c r="C286" s="9" t="s">
        <v>667</v>
      </c>
      <c r="D286" s="10" t="s">
        <v>668</v>
      </c>
      <c r="E286" s="39"/>
      <c r="F286" s="150">
        <v>1.321</v>
      </c>
      <c r="G286" s="79"/>
      <c r="H286" s="123">
        <v>361.179</v>
      </c>
      <c r="I286" s="15">
        <f t="shared" si="14"/>
        <v>273.4133232399697</v>
      </c>
    </row>
    <row r="287" spans="1:9" ht="12.75" customHeight="1">
      <c r="A287" s="8" t="s">
        <v>27</v>
      </c>
      <c r="B287" s="22">
        <v>2004</v>
      </c>
      <c r="C287" s="38"/>
      <c r="D287" s="10" t="s">
        <v>482</v>
      </c>
      <c r="E287" s="39"/>
      <c r="F287" s="150">
        <v>12.009</v>
      </c>
      <c r="G287" s="79"/>
      <c r="H287" s="123">
        <v>4065.574</v>
      </c>
      <c r="I287" s="15">
        <f t="shared" si="14"/>
        <v>338.54392538929136</v>
      </c>
    </row>
    <row r="288" spans="1:9" ht="12.75" customHeight="1">
      <c r="A288" s="8"/>
      <c r="B288" s="22"/>
      <c r="C288" s="38"/>
      <c r="D288" s="39"/>
      <c r="E288" s="39"/>
      <c r="F288" s="40"/>
      <c r="G288" s="79"/>
      <c r="H288" s="123"/>
      <c r="I288" s="15"/>
    </row>
    <row r="289" spans="1:9" ht="12.75" customHeight="1">
      <c r="A289" s="8" t="s">
        <v>598</v>
      </c>
      <c r="B289" s="22">
        <v>2003</v>
      </c>
      <c r="C289" s="9" t="s">
        <v>5</v>
      </c>
      <c r="D289" s="10" t="s">
        <v>606</v>
      </c>
      <c r="E289" s="16"/>
      <c r="F289" s="112">
        <v>1.5486588</v>
      </c>
      <c r="G289" s="101"/>
      <c r="H289" s="123">
        <v>322.353392</v>
      </c>
      <c r="I289" s="15">
        <f>$H289/$F289</f>
        <v>208.15004053830322</v>
      </c>
    </row>
    <row r="290" spans="1:9" ht="12.75" customHeight="1">
      <c r="A290" s="8" t="s">
        <v>598</v>
      </c>
      <c r="B290" s="22">
        <v>2003</v>
      </c>
      <c r="C290" s="9" t="s">
        <v>604</v>
      </c>
      <c r="D290" s="10" t="s">
        <v>609</v>
      </c>
      <c r="E290" s="16"/>
      <c r="F290" s="112">
        <f>0.5995995/10</f>
        <v>0.05995995</v>
      </c>
      <c r="G290" s="101" t="s">
        <v>307</v>
      </c>
      <c r="H290" s="123">
        <v>12.287555</v>
      </c>
      <c r="I290" s="15">
        <f>$H290/$F290</f>
        <v>204.92937369027158</v>
      </c>
    </row>
    <row r="291" spans="1:9" ht="12.75" customHeight="1">
      <c r="A291" s="8" t="s">
        <v>598</v>
      </c>
      <c r="B291" s="22">
        <v>2003</v>
      </c>
      <c r="C291" s="9" t="s">
        <v>605</v>
      </c>
      <c r="D291" s="10" t="s">
        <v>317</v>
      </c>
      <c r="E291" s="16"/>
      <c r="F291" s="112">
        <f>0.39836683/10</f>
        <v>0.039836683</v>
      </c>
      <c r="G291" s="101" t="s">
        <v>307</v>
      </c>
      <c r="H291" s="123">
        <v>8.29518252</v>
      </c>
      <c r="I291" s="15">
        <f>$H291/$F291</f>
        <v>208.2297494497722</v>
      </c>
    </row>
    <row r="292" spans="1:9" ht="12.75" customHeight="1">
      <c r="A292" s="8" t="s">
        <v>598</v>
      </c>
      <c r="B292" s="22">
        <v>2003</v>
      </c>
      <c r="C292" s="9" t="s">
        <v>610</v>
      </c>
      <c r="D292" s="10" t="s">
        <v>607</v>
      </c>
      <c r="E292" s="16"/>
      <c r="F292" s="112">
        <f>0.269911711/10</f>
        <v>0.0269911711</v>
      </c>
      <c r="G292" s="101" t="s">
        <v>307</v>
      </c>
      <c r="H292" s="123">
        <v>5.6236518</v>
      </c>
      <c r="I292" s="15">
        <f>$H292/$F292</f>
        <v>208.35153017869612</v>
      </c>
    </row>
    <row r="293" spans="1:9" ht="12.75" customHeight="1">
      <c r="A293" s="8" t="s">
        <v>598</v>
      </c>
      <c r="B293" s="22">
        <v>2003</v>
      </c>
      <c r="C293" s="9" t="s">
        <v>724</v>
      </c>
      <c r="D293" s="10" t="s">
        <v>608</v>
      </c>
      <c r="E293" s="16"/>
      <c r="F293" s="112">
        <f>0.25981487/10</f>
        <v>0.025981486999999998</v>
      </c>
      <c r="G293" s="101" t="s">
        <v>307</v>
      </c>
      <c r="H293" s="123">
        <v>5.22618157</v>
      </c>
      <c r="I293" s="15">
        <f>$H293/$F293</f>
        <v>201.15021014771017</v>
      </c>
    </row>
    <row r="294" spans="1:9" ht="12.75" customHeight="1">
      <c r="A294" s="8"/>
      <c r="B294" s="22"/>
      <c r="C294" s="38"/>
      <c r="D294" s="39"/>
      <c r="E294" s="39"/>
      <c r="F294" s="40"/>
      <c r="G294" s="79"/>
      <c r="H294" s="123"/>
      <c r="I294" s="15"/>
    </row>
    <row r="295" spans="1:9" ht="12.75" customHeight="1">
      <c r="A295" s="8" t="s">
        <v>598</v>
      </c>
      <c r="B295" s="22">
        <v>2004</v>
      </c>
      <c r="C295" s="9" t="s">
        <v>604</v>
      </c>
      <c r="D295" s="10" t="s">
        <v>609</v>
      </c>
      <c r="E295" s="16"/>
      <c r="F295" s="112">
        <f>0.696329388/10</f>
        <v>0.0696329388</v>
      </c>
      <c r="G295" s="101" t="s">
        <v>307</v>
      </c>
      <c r="H295" s="123">
        <v>15.6157138</v>
      </c>
      <c r="I295" s="15">
        <f>$H295/$F295</f>
        <v>224.2575721936929</v>
      </c>
    </row>
    <row r="296" spans="1:9" ht="12.75" customHeight="1">
      <c r="A296" s="8" t="s">
        <v>598</v>
      </c>
      <c r="B296" s="22">
        <v>2004</v>
      </c>
      <c r="C296" s="9" t="s">
        <v>605</v>
      </c>
      <c r="D296" s="10" t="s">
        <v>317</v>
      </c>
      <c r="E296" s="16"/>
      <c r="F296" s="112">
        <f>0.478376/100</f>
        <v>0.004783760000000001</v>
      </c>
      <c r="G296" s="101" t="s">
        <v>307</v>
      </c>
      <c r="H296" s="123">
        <v>1.5419831</v>
      </c>
      <c r="I296" s="15">
        <f>$H296/$F296</f>
        <v>322.33705286218367</v>
      </c>
    </row>
    <row r="297" spans="1:9" ht="12.75" customHeight="1">
      <c r="A297" s="8" t="s">
        <v>598</v>
      </c>
      <c r="B297" s="22">
        <v>2004</v>
      </c>
      <c r="C297" s="9" t="s">
        <v>610</v>
      </c>
      <c r="D297" s="10" t="s">
        <v>607</v>
      </c>
      <c r="E297" s="16"/>
      <c r="F297" s="112">
        <f>0.3185319/10</f>
        <v>0.031853189999999997</v>
      </c>
      <c r="G297" s="101" t="s">
        <v>307</v>
      </c>
      <c r="H297" s="123">
        <v>7.14267522</v>
      </c>
      <c r="I297" s="15">
        <f>$H297/$F297</f>
        <v>224.23735958627694</v>
      </c>
    </row>
    <row r="298" spans="1:9" ht="12.75" customHeight="1">
      <c r="A298" s="8" t="s">
        <v>598</v>
      </c>
      <c r="B298" s="22">
        <v>2004</v>
      </c>
      <c r="C298" s="9" t="s">
        <v>5</v>
      </c>
      <c r="D298" s="10" t="s">
        <v>606</v>
      </c>
      <c r="E298" s="16"/>
      <c r="F298" s="112">
        <f>1.826761/10</f>
        <v>0.1826761</v>
      </c>
      <c r="G298" s="101" t="s">
        <v>307</v>
      </c>
      <c r="H298" s="123">
        <v>49.664765</v>
      </c>
      <c r="I298" s="15">
        <f>$H298/$F298</f>
        <v>271.8733594597213</v>
      </c>
    </row>
    <row r="299" spans="1:9" ht="12.75" customHeight="1">
      <c r="A299" s="8" t="s">
        <v>598</v>
      </c>
      <c r="B299" s="22">
        <v>2004</v>
      </c>
      <c r="C299" s="9" t="s">
        <v>724</v>
      </c>
      <c r="D299" s="10" t="s">
        <v>608</v>
      </c>
      <c r="E299" s="16"/>
      <c r="F299" s="112">
        <f>0.2961658/10</f>
        <v>0.029616579999999997</v>
      </c>
      <c r="G299" s="101" t="s">
        <v>307</v>
      </c>
      <c r="H299" s="123">
        <v>6.64172459</v>
      </c>
      <c r="I299" s="15">
        <f>$H299/$F299</f>
        <v>224.25697328996125</v>
      </c>
    </row>
    <row r="300" spans="1:9" ht="12.75" customHeight="1">
      <c r="A300" s="8"/>
      <c r="B300" s="22"/>
      <c r="C300" s="38"/>
      <c r="D300" s="39"/>
      <c r="E300" s="39"/>
      <c r="F300" s="40"/>
      <c r="G300" s="79"/>
      <c r="H300" s="123"/>
      <c r="I300" s="15"/>
    </row>
    <row r="301" spans="1:9" ht="12.75" customHeight="1">
      <c r="A301" s="8" t="s">
        <v>303</v>
      </c>
      <c r="B301" s="22" t="s">
        <v>682</v>
      </c>
      <c r="C301" s="305" t="s">
        <v>22</v>
      </c>
      <c r="D301" s="312" t="s">
        <v>364</v>
      </c>
      <c r="E301" s="39"/>
      <c r="F301" s="40">
        <v>9.977</v>
      </c>
      <c r="G301" s="79"/>
      <c r="H301" s="123">
        <v>3525.383</v>
      </c>
      <c r="I301" s="15">
        <f aca="true" t="shared" si="15" ref="I301:I308">$H301/$F301</f>
        <v>353.35100731682866</v>
      </c>
    </row>
    <row r="302" spans="1:9" ht="12.75" customHeight="1">
      <c r="A302" s="8" t="s">
        <v>303</v>
      </c>
      <c r="B302" s="22" t="s">
        <v>682</v>
      </c>
      <c r="C302" s="313" t="s">
        <v>289</v>
      </c>
      <c r="D302" s="312" t="s">
        <v>403</v>
      </c>
      <c r="E302" s="39"/>
      <c r="F302" s="40">
        <v>8.342</v>
      </c>
      <c r="G302" s="79"/>
      <c r="H302" s="123">
        <v>3525.513</v>
      </c>
      <c r="I302" s="15">
        <f t="shared" si="15"/>
        <v>422.62203308559094</v>
      </c>
    </row>
    <row r="303" spans="1:9" ht="12.75" customHeight="1">
      <c r="A303" s="8" t="s">
        <v>303</v>
      </c>
      <c r="B303" s="22" t="s">
        <v>682</v>
      </c>
      <c r="C303" s="313" t="s">
        <v>304</v>
      </c>
      <c r="D303" s="312" t="s">
        <v>386</v>
      </c>
      <c r="E303" s="39"/>
      <c r="F303" s="40">
        <v>3.878</v>
      </c>
      <c r="G303" s="79"/>
      <c r="H303" s="123">
        <v>767.674</v>
      </c>
      <c r="I303" s="15">
        <f t="shared" si="15"/>
        <v>197.9561629706034</v>
      </c>
    </row>
    <row r="304" spans="1:9" ht="12.75" customHeight="1">
      <c r="A304" s="8" t="s">
        <v>303</v>
      </c>
      <c r="B304" s="22" t="s">
        <v>682</v>
      </c>
      <c r="C304" s="313" t="s">
        <v>72</v>
      </c>
      <c r="D304" s="312" t="s">
        <v>404</v>
      </c>
      <c r="E304" s="39"/>
      <c r="F304" s="40">
        <v>1.032</v>
      </c>
      <c r="G304" s="79"/>
      <c r="H304" s="123">
        <v>283.471</v>
      </c>
      <c r="I304" s="15">
        <f t="shared" si="15"/>
        <v>274.6812015503876</v>
      </c>
    </row>
    <row r="305" spans="1:9" ht="12.75" customHeight="1">
      <c r="A305" s="8" t="s">
        <v>303</v>
      </c>
      <c r="B305" s="22" t="s">
        <v>682</v>
      </c>
      <c r="C305" s="313" t="s">
        <v>736</v>
      </c>
      <c r="D305" s="312" t="s">
        <v>407</v>
      </c>
      <c r="E305" s="39"/>
      <c r="F305" s="40">
        <f>0.5286/100</f>
        <v>0.005286</v>
      </c>
      <c r="G305" s="79" t="s">
        <v>307</v>
      </c>
      <c r="H305" s="123">
        <v>4.233</v>
      </c>
      <c r="I305" s="15">
        <f t="shared" si="15"/>
        <v>800.7945516458569</v>
      </c>
    </row>
    <row r="306" spans="1:9" ht="12.75" customHeight="1">
      <c r="A306" s="8" t="s">
        <v>303</v>
      </c>
      <c r="B306" s="22" t="s">
        <v>682</v>
      </c>
      <c r="C306" s="313" t="s">
        <v>291</v>
      </c>
      <c r="D306" s="312" t="s">
        <v>405</v>
      </c>
      <c r="E306" s="39"/>
      <c r="F306" s="40">
        <v>0.113</v>
      </c>
      <c r="G306" s="79" t="s">
        <v>10</v>
      </c>
      <c r="H306" s="123">
        <v>36.656</v>
      </c>
      <c r="I306" s="15">
        <f t="shared" si="15"/>
        <v>324.3893805309734</v>
      </c>
    </row>
    <row r="307" spans="1:9" ht="12.75" customHeight="1">
      <c r="A307" s="8" t="s">
        <v>303</v>
      </c>
      <c r="B307" s="22" t="s">
        <v>682</v>
      </c>
      <c r="C307" s="313" t="s">
        <v>737</v>
      </c>
      <c r="D307" s="312" t="s">
        <v>456</v>
      </c>
      <c r="E307" s="39"/>
      <c r="F307" s="40">
        <v>0.321</v>
      </c>
      <c r="G307" s="79" t="s">
        <v>10</v>
      </c>
      <c r="H307" s="123">
        <v>79.382</v>
      </c>
      <c r="I307" s="15">
        <f t="shared" si="15"/>
        <v>247.29595015576325</v>
      </c>
    </row>
    <row r="308" spans="1:9" ht="12.75" customHeight="1">
      <c r="A308" s="8" t="s">
        <v>303</v>
      </c>
      <c r="B308" s="22" t="s">
        <v>682</v>
      </c>
      <c r="C308" s="313" t="s">
        <v>86</v>
      </c>
      <c r="D308" s="312" t="s">
        <v>457</v>
      </c>
      <c r="E308" s="39"/>
      <c r="F308" s="40">
        <v>0.311</v>
      </c>
      <c r="G308" s="79" t="s">
        <v>10</v>
      </c>
      <c r="H308" s="123">
        <v>55.152</v>
      </c>
      <c r="I308" s="15">
        <f t="shared" si="15"/>
        <v>177.33762057877814</v>
      </c>
    </row>
    <row r="309" spans="1:9" ht="12.75" customHeight="1">
      <c r="A309" s="8"/>
      <c r="B309" s="22"/>
      <c r="C309" s="313"/>
      <c r="D309" s="312"/>
      <c r="E309" s="39"/>
      <c r="F309" s="40"/>
      <c r="G309" s="79"/>
      <c r="H309" s="123"/>
      <c r="I309" s="15"/>
    </row>
    <row r="310" spans="1:9" ht="12.75" customHeight="1">
      <c r="A310" s="8" t="s">
        <v>303</v>
      </c>
      <c r="B310" s="22">
        <v>2004</v>
      </c>
      <c r="C310" s="305" t="s">
        <v>22</v>
      </c>
      <c r="D310" s="312" t="s">
        <v>364</v>
      </c>
      <c r="E310" s="39"/>
      <c r="F310" s="40">
        <v>16.226</v>
      </c>
      <c r="G310" s="79"/>
      <c r="H310" s="123">
        <v>6470.171</v>
      </c>
      <c r="I310" s="15">
        <f aca="true" t="shared" si="16" ref="I310:I315">$H310/$F310</f>
        <v>398.7532971773697</v>
      </c>
    </row>
    <row r="311" spans="1:9" ht="12.75" customHeight="1">
      <c r="A311" s="8" t="s">
        <v>303</v>
      </c>
      <c r="B311" s="22">
        <v>2004</v>
      </c>
      <c r="C311" s="313" t="s">
        <v>289</v>
      </c>
      <c r="D311" s="312" t="s">
        <v>403</v>
      </c>
      <c r="E311" s="39"/>
      <c r="F311" s="40">
        <v>9.885</v>
      </c>
      <c r="G311" s="79"/>
      <c r="H311" s="123">
        <v>3504.326</v>
      </c>
      <c r="I311" s="15">
        <f t="shared" si="16"/>
        <v>354.5094587759231</v>
      </c>
    </row>
    <row r="312" spans="1:9" ht="12.75" customHeight="1">
      <c r="A312" s="8" t="s">
        <v>303</v>
      </c>
      <c r="B312" s="22">
        <v>2004</v>
      </c>
      <c r="C312" s="313" t="s">
        <v>737</v>
      </c>
      <c r="D312" s="312" t="s">
        <v>456</v>
      </c>
      <c r="E312" s="39"/>
      <c r="F312" s="40">
        <v>3.821</v>
      </c>
      <c r="G312" s="79"/>
      <c r="H312" s="123">
        <v>483.867</v>
      </c>
      <c r="I312" s="15">
        <f t="shared" si="16"/>
        <v>126.63360376864695</v>
      </c>
    </row>
    <row r="313" spans="1:9" ht="12.75" customHeight="1">
      <c r="A313" s="8" t="s">
        <v>303</v>
      </c>
      <c r="B313" s="22">
        <v>2004</v>
      </c>
      <c r="C313" s="313" t="s">
        <v>304</v>
      </c>
      <c r="D313" s="312" t="s">
        <v>386</v>
      </c>
      <c r="E313" s="39"/>
      <c r="F313" s="40">
        <v>2.763</v>
      </c>
      <c r="G313" s="79"/>
      <c r="H313" s="123">
        <v>1267.188</v>
      </c>
      <c r="I313" s="15">
        <f t="shared" si="16"/>
        <v>458.627578718784</v>
      </c>
    </row>
    <row r="314" spans="1:9" ht="12.75" customHeight="1">
      <c r="A314" s="8" t="s">
        <v>303</v>
      </c>
      <c r="B314" s="22">
        <v>2004</v>
      </c>
      <c r="C314" s="313" t="s">
        <v>72</v>
      </c>
      <c r="D314" s="312" t="s">
        <v>404</v>
      </c>
      <c r="E314" s="39"/>
      <c r="F314" s="40">
        <v>2.026</v>
      </c>
      <c r="G314" s="79"/>
      <c r="H314" s="123">
        <v>651.78</v>
      </c>
      <c r="I314" s="15">
        <f t="shared" si="16"/>
        <v>321.70779861796643</v>
      </c>
    </row>
    <row r="315" spans="1:9" ht="12.75" customHeight="1">
      <c r="A315" s="8" t="s">
        <v>303</v>
      </c>
      <c r="B315" s="22">
        <v>2004</v>
      </c>
      <c r="C315" s="313" t="s">
        <v>524</v>
      </c>
      <c r="D315" s="312" t="s">
        <v>523</v>
      </c>
      <c r="E315" s="39"/>
      <c r="F315" s="40">
        <v>0.82</v>
      </c>
      <c r="G315" s="79"/>
      <c r="H315" s="123">
        <v>309.676</v>
      </c>
      <c r="I315" s="15">
        <f t="shared" si="16"/>
        <v>377.6536585365854</v>
      </c>
    </row>
    <row r="316" spans="1:9" ht="12.75" customHeight="1">
      <c r="A316" s="8"/>
      <c r="B316" s="22"/>
      <c r="C316" s="38"/>
      <c r="D316" s="39"/>
      <c r="E316" s="39"/>
      <c r="F316" s="40"/>
      <c r="G316" s="79"/>
      <c r="H316" s="123"/>
      <c r="I316" s="15"/>
    </row>
    <row r="317" spans="1:9" s="24" customFormat="1" ht="12.75" customHeight="1">
      <c r="A317" s="8" t="s">
        <v>294</v>
      </c>
      <c r="B317" s="22">
        <v>2003</v>
      </c>
      <c r="C317" s="20" t="s">
        <v>724</v>
      </c>
      <c r="D317" s="10" t="s">
        <v>314</v>
      </c>
      <c r="E317" s="10"/>
      <c r="F317" s="40">
        <v>0</v>
      </c>
      <c r="G317" s="79" t="s">
        <v>10</v>
      </c>
      <c r="H317" s="125" t="s">
        <v>71</v>
      </c>
      <c r="I317" s="69" t="s">
        <v>71</v>
      </c>
    </row>
    <row r="318" spans="1:9" s="24" customFormat="1" ht="3" customHeight="1">
      <c r="A318" s="8"/>
      <c r="B318" s="22"/>
      <c r="C318" s="20"/>
      <c r="D318" s="10"/>
      <c r="E318" s="10"/>
      <c r="F318" s="40"/>
      <c r="G318" s="79"/>
      <c r="H318" s="125"/>
      <c r="I318" s="69"/>
    </row>
    <row r="319" spans="1:9" s="24" customFormat="1" ht="12.75" customHeight="1">
      <c r="A319" s="8" t="s">
        <v>294</v>
      </c>
      <c r="B319" s="22">
        <v>2003</v>
      </c>
      <c r="C319" s="56" t="s">
        <v>18</v>
      </c>
      <c r="D319" s="10" t="s">
        <v>320</v>
      </c>
      <c r="E319" s="242"/>
      <c r="F319" s="336">
        <v>0.016</v>
      </c>
      <c r="G319" s="337" t="s">
        <v>10</v>
      </c>
      <c r="H319" s="360">
        <f>6.182</f>
        <v>6.182</v>
      </c>
      <c r="I319" s="338">
        <f>$H319/$F319</f>
        <v>386.375</v>
      </c>
    </row>
    <row r="320" spans="1:9" s="24" customFormat="1" ht="12.75" customHeight="1">
      <c r="A320" s="8" t="s">
        <v>294</v>
      </c>
      <c r="B320" s="22">
        <v>2003</v>
      </c>
      <c r="C320" s="55" t="s">
        <v>6</v>
      </c>
      <c r="D320" s="27" t="s">
        <v>323</v>
      </c>
      <c r="E320" s="244"/>
      <c r="F320" s="336"/>
      <c r="G320" s="337"/>
      <c r="H320" s="360"/>
      <c r="I320" s="338" t="e">
        <f>$H320/$F320</f>
        <v>#DIV/0!</v>
      </c>
    </row>
    <row r="321" spans="1:9" s="24" customFormat="1" ht="3" customHeight="1">
      <c r="A321" s="8"/>
      <c r="B321" s="22"/>
      <c r="C321" s="55"/>
      <c r="D321" s="27"/>
      <c r="E321" s="10"/>
      <c r="F321" s="314"/>
      <c r="G321" s="263"/>
      <c r="H321" s="278"/>
      <c r="I321" s="264"/>
    </row>
    <row r="322" spans="1:9" s="8" customFormat="1" ht="12.75" customHeight="1">
      <c r="A322" s="8" t="s">
        <v>294</v>
      </c>
      <c r="B322" s="22">
        <v>2003</v>
      </c>
      <c r="C322" s="20" t="s">
        <v>23</v>
      </c>
      <c r="D322" s="10" t="s">
        <v>383</v>
      </c>
      <c r="E322" s="10"/>
      <c r="F322" s="40">
        <v>0.11</v>
      </c>
      <c r="G322" s="79" t="s">
        <v>10</v>
      </c>
      <c r="H322" s="123">
        <f>108.423</f>
        <v>108.423</v>
      </c>
      <c r="I322" s="15">
        <f>$H322/$F322</f>
        <v>985.6636363636363</v>
      </c>
    </row>
    <row r="323" spans="1:9" s="24" customFormat="1" ht="12.75" customHeight="1">
      <c r="A323" s="8" t="s">
        <v>294</v>
      </c>
      <c r="B323" s="22">
        <v>2003</v>
      </c>
      <c r="C323" s="22" t="s">
        <v>297</v>
      </c>
      <c r="D323" s="8" t="s">
        <v>42</v>
      </c>
      <c r="E323" s="8"/>
      <c r="F323" s="15">
        <f>17.989/100</f>
        <v>0.17989</v>
      </c>
      <c r="G323" s="79" t="s">
        <v>307</v>
      </c>
      <c r="H323" s="125">
        <v>42.052</v>
      </c>
      <c r="I323" s="15">
        <f>$H323/$F323</f>
        <v>233.7650786591806</v>
      </c>
    </row>
    <row r="324" spans="1:9" s="62" customFormat="1" ht="12.75" customHeight="1">
      <c r="A324" s="8"/>
      <c r="B324" s="22"/>
      <c r="C324" s="38"/>
      <c r="D324" s="39"/>
      <c r="E324" s="39"/>
      <c r="F324" s="40"/>
      <c r="G324" s="79"/>
      <c r="H324" s="123"/>
      <c r="I324" s="15"/>
    </row>
    <row r="325" spans="1:9" s="62" customFormat="1" ht="12.75" customHeight="1">
      <c r="A325" s="8" t="s">
        <v>294</v>
      </c>
      <c r="B325" s="22">
        <v>2004</v>
      </c>
      <c r="C325" s="20" t="s">
        <v>23</v>
      </c>
      <c r="D325" s="10" t="s">
        <v>383</v>
      </c>
      <c r="E325" s="10"/>
      <c r="F325" s="40">
        <v>24.527</v>
      </c>
      <c r="G325" s="79"/>
      <c r="H325" s="123">
        <v>0</v>
      </c>
      <c r="I325" s="69" t="s">
        <v>71</v>
      </c>
    </row>
    <row r="326" spans="1:9" s="62" customFormat="1" ht="12.75" customHeight="1">
      <c r="A326" s="8" t="s">
        <v>294</v>
      </c>
      <c r="B326" s="22">
        <v>2004</v>
      </c>
      <c r="C326" s="22" t="s">
        <v>297</v>
      </c>
      <c r="D326" s="8" t="s">
        <v>42</v>
      </c>
      <c r="E326" s="8"/>
      <c r="F326" s="15">
        <v>0.104</v>
      </c>
      <c r="G326" s="79" t="s">
        <v>10</v>
      </c>
      <c r="H326" s="125">
        <v>230.6</v>
      </c>
      <c r="I326" s="15">
        <f>$H326/$F326</f>
        <v>2217.3076923076924</v>
      </c>
    </row>
    <row r="327" spans="1:9" s="62" customFormat="1" ht="12.75" customHeight="1">
      <c r="A327" s="8" t="s">
        <v>294</v>
      </c>
      <c r="B327" s="22">
        <v>2004</v>
      </c>
      <c r="C327" s="22" t="s">
        <v>296</v>
      </c>
      <c r="D327" s="8"/>
      <c r="E327" s="8"/>
      <c r="F327" s="15">
        <v>0.003</v>
      </c>
      <c r="G327" s="79" t="s">
        <v>10</v>
      </c>
      <c r="H327" s="125">
        <v>0.571</v>
      </c>
      <c r="I327" s="15">
        <f>$H327/$F327</f>
        <v>190.33333333333331</v>
      </c>
    </row>
    <row r="328" spans="1:9" s="62" customFormat="1" ht="12.75" customHeight="1">
      <c r="A328" s="8"/>
      <c r="B328" s="22"/>
      <c r="C328" s="38"/>
      <c r="D328" s="39"/>
      <c r="E328" s="39"/>
      <c r="F328" s="40"/>
      <c r="G328" s="79"/>
      <c r="H328" s="123"/>
      <c r="I328" s="15"/>
    </row>
    <row r="329" spans="1:9" s="62" customFormat="1" ht="3" customHeight="1">
      <c r="A329" s="8"/>
      <c r="B329" s="22"/>
      <c r="C329" s="38"/>
      <c r="D329" s="39"/>
      <c r="E329" s="39"/>
      <c r="F329" s="40"/>
      <c r="G329" s="79"/>
      <c r="H329" s="123"/>
      <c r="I329" s="15"/>
    </row>
    <row r="330" spans="1:9" s="24" customFormat="1" ht="12.75" customHeight="1">
      <c r="A330" s="25" t="s">
        <v>182</v>
      </c>
      <c r="B330" s="22">
        <v>2003</v>
      </c>
      <c r="C330" s="56" t="s">
        <v>468</v>
      </c>
      <c r="D330" s="265" t="s">
        <v>317</v>
      </c>
      <c r="E330" s="252"/>
      <c r="F330" s="255"/>
      <c r="G330" s="83"/>
      <c r="H330" s="126"/>
      <c r="I330" s="21"/>
    </row>
    <row r="331" spans="1:9" s="24" customFormat="1" ht="12.75" customHeight="1">
      <c r="A331" s="25" t="s">
        <v>182</v>
      </c>
      <c r="B331" s="22">
        <v>2003</v>
      </c>
      <c r="C331" s="55" t="s">
        <v>210</v>
      </c>
      <c r="D331" s="10" t="s">
        <v>458</v>
      </c>
      <c r="E331" s="267"/>
      <c r="F331" s="292"/>
      <c r="G331" s="104"/>
      <c r="H331" s="135"/>
      <c r="I331" s="293"/>
    </row>
    <row r="332" spans="1:9" s="8" customFormat="1" ht="12.75" customHeight="1">
      <c r="A332" s="25" t="s">
        <v>182</v>
      </c>
      <c r="B332" s="22">
        <v>2003</v>
      </c>
      <c r="C332" s="55" t="s">
        <v>738</v>
      </c>
      <c r="D332" s="75" t="s">
        <v>336</v>
      </c>
      <c r="E332" s="253"/>
      <c r="F332" s="255">
        <v>108.851270698571</v>
      </c>
      <c r="G332" s="83"/>
      <c r="H332" s="125">
        <f>70159.21</f>
        <v>70159.21</v>
      </c>
      <c r="I332" s="69">
        <f>$H332/$F332</f>
        <v>644.5419474641104</v>
      </c>
    </row>
    <row r="333" spans="1:9" s="24" customFormat="1" ht="12.75" customHeight="1">
      <c r="A333" s="25" t="s">
        <v>182</v>
      </c>
      <c r="B333" s="22">
        <v>2003</v>
      </c>
      <c r="C333" s="55" t="s">
        <v>478</v>
      </c>
      <c r="D333" s="75" t="s">
        <v>383</v>
      </c>
      <c r="E333" s="253"/>
      <c r="F333" s="75"/>
      <c r="G333" s="83"/>
      <c r="H333" s="143"/>
      <c r="I333" s="25"/>
    </row>
    <row r="334" spans="1:9" s="24" customFormat="1" ht="12.75" customHeight="1">
      <c r="A334" s="25" t="s">
        <v>182</v>
      </c>
      <c r="B334" s="22">
        <v>2003</v>
      </c>
      <c r="C334" s="55" t="s">
        <v>724</v>
      </c>
      <c r="D334" s="75" t="s">
        <v>437</v>
      </c>
      <c r="E334" s="244"/>
      <c r="F334" s="40"/>
      <c r="G334" s="79"/>
      <c r="H334" s="123"/>
      <c r="I334" s="15"/>
    </row>
    <row r="335" spans="1:9" s="24" customFormat="1" ht="12.75" customHeight="1">
      <c r="A335" s="165"/>
      <c r="B335" s="166"/>
      <c r="C335" s="167"/>
      <c r="D335" s="165"/>
      <c r="E335" s="165"/>
      <c r="F335" s="169"/>
      <c r="G335" s="173"/>
      <c r="H335" s="171"/>
      <c r="I335" s="169"/>
    </row>
    <row r="336" spans="1:9" s="24" customFormat="1" ht="12.75" customHeight="1">
      <c r="A336" s="25" t="s">
        <v>182</v>
      </c>
      <c r="B336" s="22">
        <v>2004</v>
      </c>
      <c r="C336" s="56" t="s">
        <v>468</v>
      </c>
      <c r="D336" s="265" t="s">
        <v>317</v>
      </c>
      <c r="E336" s="252"/>
      <c r="F336" s="255"/>
      <c r="G336" s="83"/>
      <c r="H336" s="126"/>
      <c r="I336" s="21"/>
    </row>
    <row r="337" spans="1:9" s="24" customFormat="1" ht="12.75" customHeight="1">
      <c r="A337" s="25" t="s">
        <v>182</v>
      </c>
      <c r="B337" s="22">
        <v>2004</v>
      </c>
      <c r="C337" s="55" t="s">
        <v>210</v>
      </c>
      <c r="D337" s="10" t="s">
        <v>458</v>
      </c>
      <c r="E337" s="267"/>
      <c r="F337" s="292"/>
      <c r="G337" s="104"/>
      <c r="H337" s="135"/>
      <c r="I337" s="293"/>
    </row>
    <row r="338" spans="1:9" s="24" customFormat="1" ht="12.75" customHeight="1">
      <c r="A338" s="25" t="s">
        <v>182</v>
      </c>
      <c r="B338" s="22">
        <v>2004</v>
      </c>
      <c r="C338" s="55" t="s">
        <v>738</v>
      </c>
      <c r="D338" s="75" t="s">
        <v>336</v>
      </c>
      <c r="E338" s="253"/>
      <c r="F338" s="255">
        <v>131</v>
      </c>
      <c r="G338" s="83"/>
      <c r="H338" s="125">
        <v>77323.83480999996</v>
      </c>
      <c r="I338" s="69">
        <f>$H338/$F338</f>
        <v>590.258280992366</v>
      </c>
    </row>
    <row r="339" spans="1:9" s="24" customFormat="1" ht="12.75" customHeight="1">
      <c r="A339" s="25" t="s">
        <v>182</v>
      </c>
      <c r="B339" s="22">
        <v>2004</v>
      </c>
      <c r="C339" s="55" t="s">
        <v>478</v>
      </c>
      <c r="D339" s="75" t="s">
        <v>383</v>
      </c>
      <c r="E339" s="253"/>
      <c r="F339" s="75"/>
      <c r="G339" s="83"/>
      <c r="H339" s="143"/>
      <c r="I339" s="25"/>
    </row>
    <row r="340" spans="1:9" s="24" customFormat="1" ht="12.75" customHeight="1">
      <c r="A340" s="25" t="s">
        <v>182</v>
      </c>
      <c r="B340" s="22">
        <v>2004</v>
      </c>
      <c r="C340" s="55" t="s">
        <v>724</v>
      </c>
      <c r="D340" s="75" t="s">
        <v>437</v>
      </c>
      <c r="E340" s="244"/>
      <c r="F340" s="40"/>
      <c r="G340" s="79"/>
      <c r="H340" s="123"/>
      <c r="I340" s="15"/>
    </row>
    <row r="341" spans="1:9" s="24" customFormat="1" ht="12.75" customHeight="1">
      <c r="A341" s="1"/>
      <c r="B341" s="5"/>
      <c r="C341" s="38"/>
      <c r="D341" s="34"/>
      <c r="E341" s="34"/>
      <c r="F341" s="91"/>
      <c r="G341" s="86"/>
      <c r="H341" s="141"/>
      <c r="I341" s="57"/>
    </row>
    <row r="342" spans="1:9" s="24" customFormat="1" ht="12.75" customHeight="1">
      <c r="A342" s="1" t="s">
        <v>285</v>
      </c>
      <c r="B342" s="5">
        <v>2003</v>
      </c>
      <c r="C342" s="313" t="s">
        <v>308</v>
      </c>
      <c r="D342" s="315" t="s">
        <v>424</v>
      </c>
      <c r="E342" s="34"/>
      <c r="F342" s="91">
        <v>4.41</v>
      </c>
      <c r="G342" s="86"/>
      <c r="H342" s="141">
        <v>1162</v>
      </c>
      <c r="I342" s="57">
        <f aca="true" t="shared" si="17" ref="I342:I355">$H342/$F342</f>
        <v>263.4920634920635</v>
      </c>
    </row>
    <row r="343" spans="1:9" s="24" customFormat="1" ht="12.75" customHeight="1">
      <c r="A343" s="1" t="s">
        <v>285</v>
      </c>
      <c r="B343" s="5">
        <v>2003</v>
      </c>
      <c r="C343" s="313" t="s">
        <v>85</v>
      </c>
      <c r="D343" s="315" t="s">
        <v>461</v>
      </c>
      <c r="E343" s="34"/>
      <c r="F343" s="91">
        <v>0.38</v>
      </c>
      <c r="G343" s="86" t="s">
        <v>10</v>
      </c>
      <c r="H343" s="141">
        <v>117</v>
      </c>
      <c r="I343" s="57">
        <f t="shared" si="17"/>
        <v>307.89473684210526</v>
      </c>
    </row>
    <row r="344" spans="1:9" s="24" customFormat="1" ht="12.75" customHeight="1">
      <c r="A344" s="1" t="s">
        <v>285</v>
      </c>
      <c r="B344" s="5">
        <v>2003</v>
      </c>
      <c r="C344" s="313" t="s">
        <v>86</v>
      </c>
      <c r="D344" s="315" t="s">
        <v>460</v>
      </c>
      <c r="E344" s="34"/>
      <c r="F344" s="91">
        <v>0.33</v>
      </c>
      <c r="G344" s="86" t="s">
        <v>10</v>
      </c>
      <c r="H344" s="141">
        <v>87</v>
      </c>
      <c r="I344" s="57">
        <f t="shared" si="17"/>
        <v>263.6363636363636</v>
      </c>
    </row>
    <row r="345" spans="1:9" s="24" customFormat="1" ht="12.75" customHeight="1">
      <c r="A345" s="1" t="s">
        <v>285</v>
      </c>
      <c r="B345" s="5">
        <v>2003</v>
      </c>
      <c r="C345" s="38"/>
      <c r="D345" s="34" t="s">
        <v>482</v>
      </c>
      <c r="E345" s="34"/>
      <c r="F345" s="91">
        <v>2.18</v>
      </c>
      <c r="G345" s="86"/>
      <c r="H345" s="141">
        <v>463</v>
      </c>
      <c r="I345" s="57">
        <f t="shared" si="17"/>
        <v>212.38532110091742</v>
      </c>
    </row>
    <row r="346" spans="1:9" s="24" customFormat="1" ht="12.75" customHeight="1">
      <c r="A346" s="1"/>
      <c r="B346" s="5"/>
      <c r="C346" s="313"/>
      <c r="D346" s="315"/>
      <c r="E346" s="34"/>
      <c r="F346" s="91"/>
      <c r="G346" s="86"/>
      <c r="H346" s="141"/>
      <c r="I346" s="57"/>
    </row>
    <row r="347" spans="1:9" s="24" customFormat="1" ht="12.75" customHeight="1">
      <c r="A347" s="1" t="s">
        <v>285</v>
      </c>
      <c r="B347" s="5">
        <v>2004</v>
      </c>
      <c r="C347" s="313" t="s">
        <v>308</v>
      </c>
      <c r="D347" s="315" t="s">
        <v>424</v>
      </c>
      <c r="E347" s="34"/>
      <c r="F347" s="91">
        <v>2.84</v>
      </c>
      <c r="G347" s="86"/>
      <c r="H347" s="141">
        <v>881</v>
      </c>
      <c r="I347" s="57">
        <f t="shared" si="17"/>
        <v>310.2112676056338</v>
      </c>
    </row>
    <row r="348" spans="1:9" s="24" customFormat="1" ht="12.75" customHeight="1">
      <c r="A348" s="1" t="s">
        <v>285</v>
      </c>
      <c r="B348" s="5">
        <v>2004</v>
      </c>
      <c r="C348" s="305" t="s">
        <v>288</v>
      </c>
      <c r="D348" s="275" t="s">
        <v>427</v>
      </c>
      <c r="E348" s="34"/>
      <c r="F348" s="91">
        <v>0.51</v>
      </c>
      <c r="G348" s="86"/>
      <c r="H348" s="141">
        <v>92</v>
      </c>
      <c r="I348" s="57">
        <f t="shared" si="17"/>
        <v>180.39215686274508</v>
      </c>
    </row>
    <row r="349" spans="1:9" s="24" customFormat="1" ht="12.75" customHeight="1">
      <c r="A349" s="1" t="s">
        <v>285</v>
      </c>
      <c r="B349" s="5">
        <v>2004</v>
      </c>
      <c r="C349" s="313" t="s">
        <v>85</v>
      </c>
      <c r="D349" s="315" t="s">
        <v>461</v>
      </c>
      <c r="E349" s="34"/>
      <c r="F349" s="91">
        <v>0.24</v>
      </c>
      <c r="G349" s="86" t="s">
        <v>10</v>
      </c>
      <c r="H349" s="141">
        <v>82</v>
      </c>
      <c r="I349" s="57">
        <f t="shared" si="17"/>
        <v>341.6666666666667</v>
      </c>
    </row>
    <row r="350" spans="1:9" s="24" customFormat="1" ht="12.75" customHeight="1">
      <c r="A350" s="1" t="s">
        <v>285</v>
      </c>
      <c r="B350" s="5">
        <v>2004</v>
      </c>
      <c r="C350" s="31" t="s">
        <v>290</v>
      </c>
      <c r="D350" s="27" t="s">
        <v>501</v>
      </c>
      <c r="E350" s="34"/>
      <c r="F350" s="91">
        <v>0.22</v>
      </c>
      <c r="G350" s="86" t="s">
        <v>10</v>
      </c>
      <c r="H350" s="141">
        <v>52</v>
      </c>
      <c r="I350" s="57">
        <f t="shared" si="17"/>
        <v>236.36363636363637</v>
      </c>
    </row>
    <row r="351" spans="1:9" s="24" customFormat="1" ht="12.75" customHeight="1">
      <c r="A351" s="1" t="s">
        <v>285</v>
      </c>
      <c r="B351" s="5">
        <v>2004</v>
      </c>
      <c r="C351" s="313" t="s">
        <v>86</v>
      </c>
      <c r="D351" s="315" t="s">
        <v>460</v>
      </c>
      <c r="E351" s="34"/>
      <c r="F351" s="91">
        <v>0.12</v>
      </c>
      <c r="G351" s="86" t="s">
        <v>10</v>
      </c>
      <c r="H351" s="141">
        <v>38</v>
      </c>
      <c r="I351" s="57">
        <f t="shared" si="17"/>
        <v>316.6666666666667</v>
      </c>
    </row>
    <row r="352" spans="1:9" s="24" customFormat="1" ht="12.75" customHeight="1">
      <c r="A352" s="1" t="s">
        <v>285</v>
      </c>
      <c r="B352" s="5">
        <v>2004</v>
      </c>
      <c r="C352" s="305" t="s">
        <v>286</v>
      </c>
      <c r="D352" s="275" t="s">
        <v>502</v>
      </c>
      <c r="E352" s="34"/>
      <c r="F352" s="91">
        <v>0.12</v>
      </c>
      <c r="G352" s="86" t="s">
        <v>10</v>
      </c>
      <c r="H352" s="141">
        <v>19</v>
      </c>
      <c r="I352" s="57">
        <f t="shared" si="17"/>
        <v>158.33333333333334</v>
      </c>
    </row>
    <row r="353" spans="1:9" s="24" customFormat="1" ht="12.75" customHeight="1">
      <c r="A353" s="1" t="s">
        <v>285</v>
      </c>
      <c r="B353" s="5">
        <v>2004</v>
      </c>
      <c r="C353" s="313" t="s">
        <v>287</v>
      </c>
      <c r="D353" s="315" t="s">
        <v>462</v>
      </c>
      <c r="E353" s="34"/>
      <c r="F353" s="91">
        <v>0.1</v>
      </c>
      <c r="G353" s="86" t="s">
        <v>10</v>
      </c>
      <c r="H353" s="141">
        <v>19</v>
      </c>
      <c r="I353" s="57">
        <f t="shared" si="17"/>
        <v>190</v>
      </c>
    </row>
    <row r="354" spans="1:9" s="24" customFormat="1" ht="12.75" customHeight="1">
      <c r="A354" s="1" t="s">
        <v>285</v>
      </c>
      <c r="B354" s="5">
        <v>2004</v>
      </c>
      <c r="C354" s="305" t="s">
        <v>72</v>
      </c>
      <c r="D354" s="275" t="s">
        <v>503</v>
      </c>
      <c r="E354" s="34"/>
      <c r="F354" s="91">
        <v>0.09</v>
      </c>
      <c r="G354" s="86" t="s">
        <v>10</v>
      </c>
      <c r="H354" s="141">
        <v>30</v>
      </c>
      <c r="I354" s="57">
        <f t="shared" si="17"/>
        <v>333.33333333333337</v>
      </c>
    </row>
    <row r="355" spans="1:9" s="24" customFormat="1" ht="12.75" customHeight="1">
      <c r="A355" s="1" t="s">
        <v>285</v>
      </c>
      <c r="B355" s="5">
        <v>2004</v>
      </c>
      <c r="C355" s="305"/>
      <c r="D355" s="315" t="s">
        <v>482</v>
      </c>
      <c r="E355" s="34"/>
      <c r="F355" s="91">
        <v>0.83</v>
      </c>
      <c r="G355" s="86"/>
      <c r="H355" s="141">
        <v>191</v>
      </c>
      <c r="I355" s="57">
        <f t="shared" si="17"/>
        <v>230.12048192771084</v>
      </c>
    </row>
    <row r="356" spans="1:9" s="24" customFormat="1" ht="12.75" customHeight="1">
      <c r="A356" s="1"/>
      <c r="B356" s="5"/>
      <c r="C356" s="38"/>
      <c r="D356" s="34"/>
      <c r="E356" s="34"/>
      <c r="F356" s="91"/>
      <c r="G356" s="86"/>
      <c r="H356" s="141"/>
      <c r="I356" s="57"/>
    </row>
    <row r="357" spans="1:9" s="24" customFormat="1" ht="12.75" customHeight="1">
      <c r="A357" s="24" t="s">
        <v>67</v>
      </c>
      <c r="B357" s="5">
        <v>2003</v>
      </c>
      <c r="C357" s="31" t="s">
        <v>22</v>
      </c>
      <c r="D357" s="27" t="s">
        <v>364</v>
      </c>
      <c r="E357" s="27"/>
      <c r="F357" s="90">
        <v>0.021</v>
      </c>
      <c r="G357" s="88" t="s">
        <v>10</v>
      </c>
      <c r="H357" s="128">
        <v>20.231</v>
      </c>
      <c r="I357" s="26">
        <f>$H357/$F357</f>
        <v>963.3809523809524</v>
      </c>
    </row>
    <row r="358" spans="1:9" s="24" customFormat="1" ht="12.75" customHeight="1">
      <c r="A358" s="24" t="s">
        <v>67</v>
      </c>
      <c r="B358" s="5">
        <v>2003</v>
      </c>
      <c r="C358" s="31" t="s">
        <v>478</v>
      </c>
      <c r="D358" s="27" t="s">
        <v>327</v>
      </c>
      <c r="E358" s="27"/>
      <c r="F358" s="90">
        <v>0.008</v>
      </c>
      <c r="G358" s="88" t="s">
        <v>10</v>
      </c>
      <c r="H358" s="128">
        <v>22.864</v>
      </c>
      <c r="I358" s="26">
        <f>$H358/$F358</f>
        <v>2858</v>
      </c>
    </row>
    <row r="359" spans="1:9" s="24" customFormat="1" ht="12.75" customHeight="1">
      <c r="A359" s="24" t="s">
        <v>67</v>
      </c>
      <c r="B359" s="5">
        <v>2003</v>
      </c>
      <c r="C359" s="316" t="s">
        <v>468</v>
      </c>
      <c r="D359" s="27" t="s">
        <v>385</v>
      </c>
      <c r="E359" s="27"/>
      <c r="F359" s="90">
        <v>0.001</v>
      </c>
      <c r="G359" s="88" t="s">
        <v>10</v>
      </c>
      <c r="H359" s="128">
        <v>0.267</v>
      </c>
      <c r="I359" s="26">
        <f>$H359/$F359</f>
        <v>267</v>
      </c>
    </row>
    <row r="360" spans="1:9" s="24" customFormat="1" ht="12.75" customHeight="1">
      <c r="A360" s="24" t="s">
        <v>67</v>
      </c>
      <c r="B360" s="5">
        <v>2003</v>
      </c>
      <c r="C360" s="31"/>
      <c r="D360" s="27" t="s">
        <v>482</v>
      </c>
      <c r="E360" s="27"/>
      <c r="F360" s="90">
        <v>0.02</v>
      </c>
      <c r="G360" s="88" t="s">
        <v>10</v>
      </c>
      <c r="H360" s="128">
        <v>14.42</v>
      </c>
      <c r="I360" s="26">
        <f>$H360/$F360</f>
        <v>721</v>
      </c>
    </row>
    <row r="361" spans="2:9" s="24" customFormat="1" ht="12.75" customHeight="1">
      <c r="B361" s="5"/>
      <c r="C361" s="31"/>
      <c r="D361" s="27"/>
      <c r="E361" s="27"/>
      <c r="F361" s="90"/>
      <c r="G361" s="88"/>
      <c r="H361" s="128"/>
      <c r="I361" s="26"/>
    </row>
    <row r="362" spans="1:9" s="24" customFormat="1" ht="12.75" customHeight="1">
      <c r="A362" s="24" t="s">
        <v>67</v>
      </c>
      <c r="B362" s="5">
        <v>2004</v>
      </c>
      <c r="C362" s="31" t="s">
        <v>22</v>
      </c>
      <c r="D362" s="27" t="s">
        <v>364</v>
      </c>
      <c r="E362" s="27"/>
      <c r="F362" s="90">
        <v>0.025</v>
      </c>
      <c r="G362" s="88" t="s">
        <v>10</v>
      </c>
      <c r="H362" s="128">
        <v>16.535</v>
      </c>
      <c r="I362" s="26">
        <f>$H362/$F362</f>
        <v>661.4</v>
      </c>
    </row>
    <row r="363" spans="1:9" s="24" customFormat="1" ht="12.75" customHeight="1">
      <c r="A363" s="24" t="s">
        <v>67</v>
      </c>
      <c r="B363" s="5">
        <v>2004</v>
      </c>
      <c r="C363" s="31" t="s">
        <v>478</v>
      </c>
      <c r="D363" s="27" t="s">
        <v>327</v>
      </c>
      <c r="E363" s="27"/>
      <c r="F363" s="90">
        <v>0.014</v>
      </c>
      <c r="G363" s="88" t="s">
        <v>10</v>
      </c>
      <c r="H363" s="128">
        <v>8.88</v>
      </c>
      <c r="I363" s="26">
        <f>$H363/$F363</f>
        <v>634.2857142857143</v>
      </c>
    </row>
    <row r="364" spans="1:9" s="24" customFormat="1" ht="12.75" customHeight="1">
      <c r="A364" s="24" t="s">
        <v>67</v>
      </c>
      <c r="B364" s="5">
        <v>2004</v>
      </c>
      <c r="C364" s="316" t="s">
        <v>468</v>
      </c>
      <c r="D364" s="27" t="s">
        <v>385</v>
      </c>
      <c r="E364" s="27"/>
      <c r="F364" s="90">
        <v>0.012</v>
      </c>
      <c r="G364" s="88" t="s">
        <v>10</v>
      </c>
      <c r="H364" s="128">
        <v>3.701</v>
      </c>
      <c r="I364" s="26">
        <f>$H364/$F364</f>
        <v>308.4166666666667</v>
      </c>
    </row>
    <row r="365" spans="1:9" s="24" customFormat="1" ht="12.75" customHeight="1">
      <c r="A365" s="24" t="s">
        <v>67</v>
      </c>
      <c r="B365" s="5">
        <v>2004</v>
      </c>
      <c r="C365" s="31"/>
      <c r="D365" s="27" t="s">
        <v>482</v>
      </c>
      <c r="E365" s="27"/>
      <c r="F365" s="90">
        <v>0.048</v>
      </c>
      <c r="G365" s="88" t="s">
        <v>10</v>
      </c>
      <c r="H365" s="128">
        <v>77.754</v>
      </c>
      <c r="I365" s="26">
        <f>$H365/$F365</f>
        <v>1619.875</v>
      </c>
    </row>
    <row r="366" spans="2:9" s="24" customFormat="1" ht="12.75" customHeight="1">
      <c r="B366" s="5"/>
      <c r="C366" s="31"/>
      <c r="D366" s="27"/>
      <c r="E366" s="27"/>
      <c r="F366" s="90"/>
      <c r="G366" s="88"/>
      <c r="H366" s="128"/>
      <c r="I366" s="26"/>
    </row>
    <row r="367" spans="1:9" s="24" customFormat="1" ht="12.75" customHeight="1">
      <c r="A367" s="58" t="s">
        <v>93</v>
      </c>
      <c r="B367" s="270">
        <v>2003</v>
      </c>
      <c r="C367" s="64" t="s">
        <v>212</v>
      </c>
      <c r="D367" s="230" t="s">
        <v>367</v>
      </c>
      <c r="E367" s="275"/>
      <c r="F367" s="317">
        <f>0.718/3</f>
        <v>0.23933333333333331</v>
      </c>
      <c r="G367" s="318" t="s">
        <v>307</v>
      </c>
      <c r="H367" s="128">
        <v>60</v>
      </c>
      <c r="I367" s="149">
        <f>$H367/$F367</f>
        <v>250.69637883008357</v>
      </c>
    </row>
    <row r="368" spans="1:9" ht="12.75" customHeight="1">
      <c r="A368" s="58" t="s">
        <v>93</v>
      </c>
      <c r="B368" s="270">
        <v>2003</v>
      </c>
      <c r="C368" s="64" t="s">
        <v>213</v>
      </c>
      <c r="D368" s="230" t="s">
        <v>368</v>
      </c>
      <c r="E368" s="275"/>
      <c r="F368" s="317">
        <f>0.718/3</f>
        <v>0.23933333333333331</v>
      </c>
      <c r="G368" s="318" t="s">
        <v>307</v>
      </c>
      <c r="H368" s="128">
        <v>60</v>
      </c>
      <c r="I368" s="149">
        <f>$H368/$F368</f>
        <v>250.69637883008357</v>
      </c>
    </row>
    <row r="369" spans="1:9" ht="12.75" customHeight="1">
      <c r="A369" s="58" t="s">
        <v>93</v>
      </c>
      <c r="B369" s="270">
        <v>2003</v>
      </c>
      <c r="C369" s="64" t="s">
        <v>310</v>
      </c>
      <c r="D369" s="230" t="s">
        <v>369</v>
      </c>
      <c r="E369" s="275"/>
      <c r="F369" s="317">
        <f>0.718/3</f>
        <v>0.23933333333333331</v>
      </c>
      <c r="G369" s="318" t="s">
        <v>307</v>
      </c>
      <c r="H369" s="128">
        <v>60</v>
      </c>
      <c r="I369" s="149">
        <f>$H369/$F369</f>
        <v>250.69637883008357</v>
      </c>
    </row>
    <row r="370" spans="1:9" ht="12.75" customHeight="1">
      <c r="A370" s="24"/>
      <c r="C370" s="31"/>
      <c r="D370" s="27"/>
      <c r="E370" s="27"/>
      <c r="F370" s="90"/>
      <c r="G370" s="88"/>
      <c r="H370" s="128"/>
      <c r="I370" s="26"/>
    </row>
    <row r="371" spans="1:9" s="24" customFormat="1" ht="12.75" customHeight="1">
      <c r="A371" s="58" t="s">
        <v>93</v>
      </c>
      <c r="B371" s="270">
        <v>2004</v>
      </c>
      <c r="C371" s="64" t="s">
        <v>212</v>
      </c>
      <c r="D371" s="230" t="s">
        <v>367</v>
      </c>
      <c r="E371" s="275"/>
      <c r="F371" s="317">
        <f>2.473/3</f>
        <v>0.8243333333333333</v>
      </c>
      <c r="G371" s="318" t="s">
        <v>311</v>
      </c>
      <c r="H371" s="128">
        <v>210</v>
      </c>
      <c r="I371" s="149">
        <f>$H371/$F371</f>
        <v>254.75131419328753</v>
      </c>
    </row>
    <row r="372" spans="1:9" ht="12.75" customHeight="1">
      <c r="A372" s="58" t="s">
        <v>93</v>
      </c>
      <c r="B372" s="270">
        <v>2004</v>
      </c>
      <c r="C372" s="64" t="s">
        <v>213</v>
      </c>
      <c r="D372" s="230" t="s">
        <v>368</v>
      </c>
      <c r="E372" s="275"/>
      <c r="F372" s="317">
        <f>2.473/3</f>
        <v>0.8243333333333333</v>
      </c>
      <c r="G372" s="318" t="s">
        <v>311</v>
      </c>
      <c r="H372" s="128">
        <v>210</v>
      </c>
      <c r="I372" s="149">
        <f>$H372/$F372</f>
        <v>254.75131419328753</v>
      </c>
    </row>
    <row r="373" spans="1:9" ht="12.75" customHeight="1">
      <c r="A373" s="58" t="s">
        <v>93</v>
      </c>
      <c r="B373" s="270">
        <v>2004</v>
      </c>
      <c r="C373" s="64" t="s">
        <v>310</v>
      </c>
      <c r="D373" s="230" t="s">
        <v>369</v>
      </c>
      <c r="E373" s="275"/>
      <c r="F373" s="317">
        <f>2.473/3</f>
        <v>0.8243333333333333</v>
      </c>
      <c r="G373" s="318" t="s">
        <v>311</v>
      </c>
      <c r="H373" s="128">
        <v>210</v>
      </c>
      <c r="I373" s="149">
        <f>$H373/$F373</f>
        <v>254.75131419328753</v>
      </c>
    </row>
    <row r="374" spans="1:9" ht="12.75" customHeight="1">
      <c r="A374" s="24"/>
      <c r="C374" s="31"/>
      <c r="D374" s="27"/>
      <c r="E374" s="27"/>
      <c r="F374" s="90"/>
      <c r="G374" s="88"/>
      <c r="H374" s="128"/>
      <c r="I374" s="26"/>
    </row>
    <row r="375" spans="1:9" ht="12.75" customHeight="1">
      <c r="A375" s="8" t="s">
        <v>562</v>
      </c>
      <c r="B375" s="22">
        <v>2003</v>
      </c>
      <c r="C375" s="22" t="s">
        <v>717</v>
      </c>
      <c r="D375" s="8" t="s">
        <v>42</v>
      </c>
      <c r="E375" s="8"/>
      <c r="F375" s="240">
        <v>3</v>
      </c>
      <c r="G375" s="79"/>
      <c r="H375" s="132">
        <v>2037.1650845764043</v>
      </c>
      <c r="I375" s="21">
        <f>$H375/$F375</f>
        <v>679.0550281921347</v>
      </c>
    </row>
    <row r="376" spans="1:9" ht="12.75" customHeight="1">
      <c r="A376" s="8" t="s">
        <v>562</v>
      </c>
      <c r="B376" s="22">
        <v>2003</v>
      </c>
      <c r="C376" s="22" t="s">
        <v>571</v>
      </c>
      <c r="D376" s="1"/>
      <c r="E376" s="8"/>
      <c r="F376" s="240">
        <v>0</v>
      </c>
      <c r="G376" s="79" t="s">
        <v>10</v>
      </c>
      <c r="H376" s="132">
        <v>26.87317107986582</v>
      </c>
      <c r="I376" s="69" t="s">
        <v>71</v>
      </c>
    </row>
    <row r="377" spans="1:9" ht="12.75" customHeight="1">
      <c r="A377" s="8" t="s">
        <v>562</v>
      </c>
      <c r="B377" s="22">
        <v>2003</v>
      </c>
      <c r="C377" s="22" t="s">
        <v>80</v>
      </c>
      <c r="D377" s="8"/>
      <c r="E377" s="8"/>
      <c r="F377" s="240">
        <v>0</v>
      </c>
      <c r="G377" s="79" t="s">
        <v>10</v>
      </c>
      <c r="H377" s="132">
        <v>3.6121618728142177</v>
      </c>
      <c r="I377" s="69" t="s">
        <v>71</v>
      </c>
    </row>
    <row r="378" spans="1:9" ht="12.75" customHeight="1">
      <c r="A378" s="8"/>
      <c r="B378" s="22"/>
      <c r="C378" s="22"/>
      <c r="D378" s="8"/>
      <c r="E378" s="8"/>
      <c r="F378" s="240"/>
      <c r="G378" s="79"/>
      <c r="H378" s="132"/>
      <c r="I378" s="73"/>
    </row>
    <row r="379" spans="1:9" ht="12.75" customHeight="1">
      <c r="A379" s="8" t="s">
        <v>562</v>
      </c>
      <c r="B379" s="22">
        <v>2004</v>
      </c>
      <c r="C379" s="22" t="s">
        <v>717</v>
      </c>
      <c r="D379" s="8" t="s">
        <v>42</v>
      </c>
      <c r="E379" s="8"/>
      <c r="F379" s="240">
        <v>7</v>
      </c>
      <c r="G379" s="79"/>
      <c r="H379" s="132">
        <v>5351.457340507302</v>
      </c>
      <c r="I379" s="21">
        <f>$H379/$F379</f>
        <v>764.4939057867575</v>
      </c>
    </row>
    <row r="380" spans="1:9" ht="12.75" customHeight="1">
      <c r="A380" s="24"/>
      <c r="C380" s="55"/>
      <c r="D380" s="27"/>
      <c r="E380" s="75"/>
      <c r="F380" s="82"/>
      <c r="G380" s="105"/>
      <c r="H380" s="137"/>
      <c r="I380" s="68"/>
    </row>
    <row r="381" spans="1:9" ht="3" customHeight="1">
      <c r="A381" s="24"/>
      <c r="C381" s="55"/>
      <c r="D381" s="27"/>
      <c r="E381" s="75"/>
      <c r="F381" s="82"/>
      <c r="G381" s="105"/>
      <c r="H381" s="137"/>
      <c r="I381" s="68"/>
    </row>
    <row r="382" spans="1:9" ht="12.75" customHeight="1">
      <c r="A382" s="53" t="s">
        <v>30</v>
      </c>
      <c r="B382" s="33"/>
      <c r="C382" s="27"/>
      <c r="D382" s="27"/>
      <c r="E382" s="27"/>
      <c r="F382" s="90"/>
      <c r="G382" s="87"/>
      <c r="H382" s="121"/>
      <c r="I382" s="24"/>
    </row>
    <row r="383" spans="1:9" ht="3" customHeight="1">
      <c r="A383" s="50"/>
      <c r="C383" s="24"/>
      <c r="D383" s="24"/>
      <c r="E383" s="24"/>
      <c r="F383" s="26"/>
      <c r="G383" s="87"/>
      <c r="H383" s="121"/>
      <c r="I383" s="24"/>
    </row>
    <row r="384" spans="1:9" ht="12.75" customHeight="1">
      <c r="A384" s="48" t="s">
        <v>88</v>
      </c>
      <c r="B384" s="22">
        <v>2003</v>
      </c>
      <c r="C384" s="55" t="s">
        <v>724</v>
      </c>
      <c r="D384" s="10" t="s">
        <v>314</v>
      </c>
      <c r="E384" s="242"/>
      <c r="F384" s="345">
        <v>1.456</v>
      </c>
      <c r="G384" s="87"/>
      <c r="H384" s="351">
        <f>6.503*1000/6.588</f>
        <v>987.0977534911962</v>
      </c>
      <c r="I384" s="347">
        <f>$H384/$F384</f>
        <v>677.951753771426</v>
      </c>
    </row>
    <row r="385" spans="1:9" ht="12.75" customHeight="1">
      <c r="A385" s="48" t="s">
        <v>88</v>
      </c>
      <c r="B385" s="22">
        <v>2003</v>
      </c>
      <c r="C385" s="55" t="s">
        <v>25</v>
      </c>
      <c r="D385" s="10" t="s">
        <v>335</v>
      </c>
      <c r="E385" s="243"/>
      <c r="F385" s="367"/>
      <c r="G385" s="87"/>
      <c r="H385" s="324"/>
      <c r="I385" s="325" t="e">
        <f>$H385/$F385</f>
        <v>#DIV/0!</v>
      </c>
    </row>
    <row r="386" spans="1:9" ht="12.75" customHeight="1">
      <c r="A386" s="48" t="s">
        <v>88</v>
      </c>
      <c r="B386" s="22">
        <v>2003</v>
      </c>
      <c r="C386" s="55" t="s">
        <v>47</v>
      </c>
      <c r="D386" s="10" t="s">
        <v>352</v>
      </c>
      <c r="E386" s="243"/>
      <c r="F386" s="367"/>
      <c r="G386" s="87"/>
      <c r="H386" s="324"/>
      <c r="I386" s="325" t="e">
        <f>$H386/$F386</f>
        <v>#DIV/0!</v>
      </c>
    </row>
    <row r="387" spans="1:9" ht="12.75" customHeight="1">
      <c r="A387" s="48" t="s">
        <v>88</v>
      </c>
      <c r="B387" s="22">
        <v>2003</v>
      </c>
      <c r="C387" s="55" t="s">
        <v>478</v>
      </c>
      <c r="D387" s="10" t="s">
        <v>327</v>
      </c>
      <c r="E387" s="244"/>
      <c r="F387" s="367"/>
      <c r="G387" s="87"/>
      <c r="H387" s="324"/>
      <c r="I387" s="325" t="e">
        <f>$H387/$F387</f>
        <v>#DIV/0!</v>
      </c>
    </row>
    <row r="388" spans="1:9" ht="3" customHeight="1">
      <c r="A388" s="212"/>
      <c r="B388" s="157"/>
      <c r="C388" s="156"/>
      <c r="D388" s="156"/>
      <c r="E388" s="156"/>
      <c r="F388" s="176"/>
      <c r="G388" s="163"/>
      <c r="H388" s="177"/>
      <c r="I388" s="176"/>
    </row>
    <row r="389" spans="1:9" ht="12.75" customHeight="1">
      <c r="A389" s="48" t="s">
        <v>88</v>
      </c>
      <c r="B389" s="22">
        <v>2003</v>
      </c>
      <c r="C389" s="55" t="s">
        <v>64</v>
      </c>
      <c r="D389" s="10" t="s">
        <v>315</v>
      </c>
      <c r="E389" s="242"/>
      <c r="F389" s="345">
        <v>0.332</v>
      </c>
      <c r="G389" s="368" t="s">
        <v>10</v>
      </c>
      <c r="H389" s="351">
        <f>0.391*1000/6.588</f>
        <v>59.350333940497876</v>
      </c>
      <c r="I389" s="347">
        <f aca="true" t="shared" si="18" ref="I389:I399">$H389/$F389</f>
        <v>178.76606608583697</v>
      </c>
    </row>
    <row r="390" spans="1:9" ht="12.75" customHeight="1">
      <c r="A390" s="48" t="s">
        <v>88</v>
      </c>
      <c r="B390" s="22">
        <v>2003</v>
      </c>
      <c r="C390" s="55" t="s">
        <v>467</v>
      </c>
      <c r="D390" s="10" t="s">
        <v>354</v>
      </c>
      <c r="E390" s="243"/>
      <c r="F390" s="367"/>
      <c r="G390" s="368"/>
      <c r="H390" s="324"/>
      <c r="I390" s="325" t="e">
        <f t="shared" si="18"/>
        <v>#DIV/0!</v>
      </c>
    </row>
    <row r="391" spans="1:9" ht="12.75" customHeight="1">
      <c r="A391" s="48" t="s">
        <v>88</v>
      </c>
      <c r="B391" s="22">
        <v>2003</v>
      </c>
      <c r="C391" s="55" t="s">
        <v>14</v>
      </c>
      <c r="D391" s="10" t="s">
        <v>345</v>
      </c>
      <c r="E391" s="244"/>
      <c r="F391" s="367"/>
      <c r="G391" s="368"/>
      <c r="H391" s="324"/>
      <c r="I391" s="325" t="e">
        <f t="shared" si="18"/>
        <v>#DIV/0!</v>
      </c>
    </row>
    <row r="392" spans="1:9" ht="3" customHeight="1">
      <c r="A392" s="217"/>
      <c r="B392" s="166"/>
      <c r="C392" s="185"/>
      <c r="D392" s="165"/>
      <c r="E392" s="165"/>
      <c r="F392" s="236"/>
      <c r="G392" s="181"/>
      <c r="H392" s="234"/>
      <c r="I392" s="235"/>
    </row>
    <row r="393" spans="1:9" ht="12.75" customHeight="1">
      <c r="A393" s="48" t="s">
        <v>88</v>
      </c>
      <c r="B393" s="22">
        <v>2003</v>
      </c>
      <c r="C393" s="9" t="s">
        <v>726</v>
      </c>
      <c r="D393" s="10" t="s">
        <v>329</v>
      </c>
      <c r="E393" s="27"/>
      <c r="F393" s="90">
        <v>0.011</v>
      </c>
      <c r="G393" s="87" t="s">
        <v>10</v>
      </c>
      <c r="H393" s="128">
        <f>0.064*1000/6.588</f>
        <v>9.714632665452337</v>
      </c>
      <c r="I393" s="26">
        <f t="shared" si="18"/>
        <v>883.1484241320306</v>
      </c>
    </row>
    <row r="394" spans="1:9" ht="3" customHeight="1">
      <c r="A394" s="217"/>
      <c r="B394" s="166"/>
      <c r="C394" s="167"/>
      <c r="D394" s="165"/>
      <c r="E394" s="156"/>
      <c r="F394" s="159"/>
      <c r="G394" s="163"/>
      <c r="H394" s="161"/>
      <c r="I394" s="159"/>
    </row>
    <row r="395" spans="1:11" s="24" customFormat="1" ht="12.75" customHeight="1">
      <c r="A395" s="48" t="s">
        <v>88</v>
      </c>
      <c r="B395" s="22">
        <v>2003</v>
      </c>
      <c r="C395" s="9" t="s">
        <v>282</v>
      </c>
      <c r="D395" s="10" t="s">
        <v>365</v>
      </c>
      <c r="E395" s="242"/>
      <c r="F395" s="345">
        <v>0.003</v>
      </c>
      <c r="G395" s="368" t="s">
        <v>10</v>
      </c>
      <c r="H395" s="351">
        <f>0.028*1000/6.588</f>
        <v>4.250151791135398</v>
      </c>
      <c r="I395" s="347">
        <f t="shared" si="18"/>
        <v>1416.7172637117992</v>
      </c>
      <c r="J395" s="1"/>
      <c r="K395" s="1"/>
    </row>
    <row r="396" spans="1:11" s="24" customFormat="1" ht="12.75" customHeight="1">
      <c r="A396" s="48" t="s">
        <v>88</v>
      </c>
      <c r="B396" s="22">
        <v>2003</v>
      </c>
      <c r="C396" s="9" t="s">
        <v>280</v>
      </c>
      <c r="D396" s="10" t="s">
        <v>378</v>
      </c>
      <c r="E396" s="243"/>
      <c r="F396" s="367"/>
      <c r="G396" s="368"/>
      <c r="H396" s="324"/>
      <c r="I396" s="325" t="e">
        <f t="shared" si="18"/>
        <v>#DIV/0!</v>
      </c>
      <c r="J396" s="1"/>
      <c r="K396" s="1"/>
    </row>
    <row r="397" spans="1:11" s="24" customFormat="1" ht="12.75" customHeight="1">
      <c r="A397" s="48" t="s">
        <v>88</v>
      </c>
      <c r="B397" s="22">
        <v>2003</v>
      </c>
      <c r="C397" s="9" t="s">
        <v>281</v>
      </c>
      <c r="D397" s="10" t="s">
        <v>379</v>
      </c>
      <c r="E397" s="244"/>
      <c r="F397" s="367"/>
      <c r="G397" s="368"/>
      <c r="H397" s="324"/>
      <c r="I397" s="325" t="e">
        <f t="shared" si="18"/>
        <v>#DIV/0!</v>
      </c>
      <c r="J397" s="1"/>
      <c r="K397" s="1"/>
    </row>
    <row r="398" spans="1:11" s="24" customFormat="1" ht="3" customHeight="1">
      <c r="A398" s="217"/>
      <c r="B398" s="166"/>
      <c r="C398" s="167"/>
      <c r="D398" s="165"/>
      <c r="E398" s="165"/>
      <c r="F398" s="236"/>
      <c r="G398" s="181"/>
      <c r="H398" s="234"/>
      <c r="I398" s="235"/>
      <c r="J398" s="1"/>
      <c r="K398" s="1"/>
    </row>
    <row r="399" spans="1:11" s="24" customFormat="1" ht="12.75" customHeight="1">
      <c r="A399" s="48" t="s">
        <v>88</v>
      </c>
      <c r="B399" s="22">
        <v>2003</v>
      </c>
      <c r="D399" s="24" t="s">
        <v>482</v>
      </c>
      <c r="F399" s="26">
        <v>5</v>
      </c>
      <c r="G399" s="87"/>
      <c r="H399" s="128">
        <f>48.293*1000/6.588</f>
        <v>7330.449301760777</v>
      </c>
      <c r="I399" s="26">
        <f t="shared" si="18"/>
        <v>1466.0898603521555</v>
      </c>
      <c r="J399" s="1"/>
      <c r="K399" s="1"/>
    </row>
    <row r="400" spans="1:11" s="24" customFormat="1" ht="12.75" customHeight="1">
      <c r="A400" s="217"/>
      <c r="B400" s="166"/>
      <c r="C400" s="156"/>
      <c r="D400" s="156"/>
      <c r="E400" s="156"/>
      <c r="F400" s="159"/>
      <c r="G400" s="163"/>
      <c r="H400" s="161"/>
      <c r="I400" s="159"/>
      <c r="J400" s="1"/>
      <c r="K400" s="1"/>
    </row>
    <row r="401" spans="1:11" s="165" customFormat="1" ht="3" customHeight="1">
      <c r="A401" s="50"/>
      <c r="B401" s="5"/>
      <c r="C401" s="24"/>
      <c r="D401" s="24"/>
      <c r="E401" s="24"/>
      <c r="F401" s="26"/>
      <c r="G401" s="87"/>
      <c r="H401" s="121"/>
      <c r="I401" s="24"/>
      <c r="J401" s="1"/>
      <c r="K401" s="1"/>
    </row>
    <row r="402" spans="1:11" s="8" customFormat="1" ht="12.75" customHeight="1">
      <c r="A402" s="48" t="s">
        <v>88</v>
      </c>
      <c r="B402" s="22">
        <v>2004</v>
      </c>
      <c r="C402" s="55" t="s">
        <v>724</v>
      </c>
      <c r="D402" s="10" t="s">
        <v>314</v>
      </c>
      <c r="E402" s="242"/>
      <c r="F402" s="345">
        <v>1.504</v>
      </c>
      <c r="G402" s="87"/>
      <c r="H402" s="351">
        <f>5.266*1000/5.991</f>
        <v>878.9851443832416</v>
      </c>
      <c r="I402" s="347">
        <f>$H402/$F402</f>
        <v>584.4316119569426</v>
      </c>
      <c r="J402" s="1"/>
      <c r="K402" s="1"/>
    </row>
    <row r="403" spans="1:11" s="8" customFormat="1" ht="12.75" customHeight="1">
      <c r="A403" s="48" t="s">
        <v>88</v>
      </c>
      <c r="B403" s="22">
        <v>2004</v>
      </c>
      <c r="C403" s="55" t="s">
        <v>25</v>
      </c>
      <c r="D403" s="10" t="s">
        <v>335</v>
      </c>
      <c r="E403" s="243"/>
      <c r="F403" s="367"/>
      <c r="G403" s="87"/>
      <c r="H403" s="324"/>
      <c r="I403" s="325" t="e">
        <f>$H403/$F403</f>
        <v>#DIV/0!</v>
      </c>
      <c r="J403" s="1"/>
      <c r="K403" s="1"/>
    </row>
    <row r="404" spans="1:11" s="24" customFormat="1" ht="12.75" customHeight="1">
      <c r="A404" s="48" t="s">
        <v>88</v>
      </c>
      <c r="B404" s="22">
        <v>2004</v>
      </c>
      <c r="C404" s="55" t="s">
        <v>47</v>
      </c>
      <c r="D404" s="10" t="s">
        <v>352</v>
      </c>
      <c r="E404" s="243"/>
      <c r="F404" s="367"/>
      <c r="G404" s="87"/>
      <c r="H404" s="324"/>
      <c r="I404" s="325" t="e">
        <f>$H404/$F404</f>
        <v>#DIV/0!</v>
      </c>
      <c r="J404" s="1"/>
      <c r="K404" s="1"/>
    </row>
    <row r="405" spans="1:11" s="8" customFormat="1" ht="12.75" customHeight="1">
      <c r="A405" s="48" t="s">
        <v>88</v>
      </c>
      <c r="B405" s="22">
        <v>2004</v>
      </c>
      <c r="C405" s="55" t="s">
        <v>478</v>
      </c>
      <c r="D405" s="10" t="s">
        <v>327</v>
      </c>
      <c r="E405" s="244"/>
      <c r="F405" s="367"/>
      <c r="G405" s="87"/>
      <c r="H405" s="324"/>
      <c r="I405" s="325" t="e">
        <f>$H405/$F405</f>
        <v>#DIV/0!</v>
      </c>
      <c r="J405" s="1"/>
      <c r="K405" s="1"/>
    </row>
    <row r="406" spans="1:11" s="8" customFormat="1" ht="3" customHeight="1">
      <c r="A406" s="212"/>
      <c r="B406" s="166"/>
      <c r="C406" s="156"/>
      <c r="D406" s="156"/>
      <c r="E406" s="156"/>
      <c r="F406" s="176"/>
      <c r="G406" s="163"/>
      <c r="H406" s="177"/>
      <c r="I406" s="176"/>
      <c r="J406" s="1"/>
      <c r="K406" s="1"/>
    </row>
    <row r="407" spans="1:11" s="8" customFormat="1" ht="12.75" customHeight="1">
      <c r="A407" s="48" t="s">
        <v>88</v>
      </c>
      <c r="B407" s="22">
        <v>2004</v>
      </c>
      <c r="C407" s="55" t="s">
        <v>64</v>
      </c>
      <c r="D407" s="10" t="s">
        <v>315</v>
      </c>
      <c r="E407" s="242"/>
      <c r="F407" s="345">
        <v>0.252</v>
      </c>
      <c r="G407" s="368" t="s">
        <v>10</v>
      </c>
      <c r="H407" s="351">
        <f>0.444*1000/5.991</f>
        <v>74.1111667501252</v>
      </c>
      <c r="I407" s="347">
        <f>$H407/$F407</f>
        <v>294.09193154811584</v>
      </c>
      <c r="J407" s="1"/>
      <c r="K407" s="1"/>
    </row>
    <row r="408" spans="1:11" s="8" customFormat="1" ht="12.75" customHeight="1">
      <c r="A408" s="48" t="s">
        <v>88</v>
      </c>
      <c r="B408" s="22">
        <v>2004</v>
      </c>
      <c r="C408" s="55" t="s">
        <v>467</v>
      </c>
      <c r="D408" s="10" t="s">
        <v>354</v>
      </c>
      <c r="E408" s="243"/>
      <c r="F408" s="367"/>
      <c r="G408" s="368"/>
      <c r="H408" s="324"/>
      <c r="I408" s="325" t="e">
        <f>$H408/$F408</f>
        <v>#DIV/0!</v>
      </c>
      <c r="J408" s="1"/>
      <c r="K408" s="1"/>
    </row>
    <row r="409" spans="1:11" s="24" customFormat="1" ht="12.75" customHeight="1">
      <c r="A409" s="48" t="s">
        <v>88</v>
      </c>
      <c r="B409" s="22">
        <v>2004</v>
      </c>
      <c r="C409" s="55" t="s">
        <v>14</v>
      </c>
      <c r="D409" s="10" t="s">
        <v>345</v>
      </c>
      <c r="E409" s="244"/>
      <c r="F409" s="367"/>
      <c r="G409" s="368"/>
      <c r="H409" s="324"/>
      <c r="I409" s="325" t="e">
        <f>$H409/$F409</f>
        <v>#DIV/0!</v>
      </c>
      <c r="J409" s="1"/>
      <c r="K409" s="1"/>
    </row>
    <row r="410" spans="1:11" s="24" customFormat="1" ht="3" customHeight="1">
      <c r="A410" s="217"/>
      <c r="B410" s="166"/>
      <c r="C410" s="185"/>
      <c r="D410" s="165"/>
      <c r="E410" s="165"/>
      <c r="F410" s="236"/>
      <c r="G410" s="181"/>
      <c r="H410" s="234"/>
      <c r="I410" s="235"/>
      <c r="J410" s="1"/>
      <c r="K410" s="1"/>
    </row>
    <row r="411" spans="1:11" s="8" customFormat="1" ht="12.75" customHeight="1">
      <c r="A411" s="48" t="s">
        <v>88</v>
      </c>
      <c r="B411" s="22">
        <v>2004</v>
      </c>
      <c r="C411" s="9" t="s">
        <v>726</v>
      </c>
      <c r="D411" s="10" t="s">
        <v>329</v>
      </c>
      <c r="E411" s="27"/>
      <c r="F411" s="90">
        <v>0.175</v>
      </c>
      <c r="G411" s="87" t="s">
        <v>10</v>
      </c>
      <c r="H411" s="128">
        <f>0.722*1000/5.991</f>
        <v>120.51410449006845</v>
      </c>
      <c r="I411" s="26">
        <f>$H411/$F411</f>
        <v>688.6520256575341</v>
      </c>
      <c r="J411" s="1"/>
      <c r="K411" s="1"/>
    </row>
    <row r="412" spans="1:11" s="8" customFormat="1" ht="3" customHeight="1">
      <c r="A412" s="217"/>
      <c r="B412" s="166"/>
      <c r="C412" s="167"/>
      <c r="D412" s="165"/>
      <c r="E412" s="156"/>
      <c r="F412" s="159"/>
      <c r="G412" s="163"/>
      <c r="H412" s="161"/>
      <c r="I412" s="159"/>
      <c r="J412" s="1"/>
      <c r="K412" s="1"/>
    </row>
    <row r="413" spans="1:11" s="24" customFormat="1" ht="12.75" customHeight="1">
      <c r="A413" s="48" t="s">
        <v>88</v>
      </c>
      <c r="B413" s="22">
        <v>2004</v>
      </c>
      <c r="C413" s="55" t="s">
        <v>720</v>
      </c>
      <c r="D413" s="10" t="s">
        <v>373</v>
      </c>
      <c r="E413" s="242"/>
      <c r="F413" s="352">
        <v>0.019</v>
      </c>
      <c r="G413" s="357" t="s">
        <v>10</v>
      </c>
      <c r="H413" s="348">
        <f>0.032*1000/5.991</f>
        <v>5.341345351360374</v>
      </c>
      <c r="I413" s="344">
        <f aca="true" t="shared" si="19" ref="I413:I419">$H413/$F413</f>
        <v>281.12343954528285</v>
      </c>
      <c r="J413" s="1"/>
      <c r="K413" s="1"/>
    </row>
    <row r="414" spans="1:11" s="24" customFormat="1" ht="12.75" customHeight="1">
      <c r="A414" s="48" t="s">
        <v>88</v>
      </c>
      <c r="B414" s="22">
        <v>2004</v>
      </c>
      <c r="C414" s="55" t="s">
        <v>479</v>
      </c>
      <c r="D414" s="10" t="s">
        <v>374</v>
      </c>
      <c r="E414" s="243"/>
      <c r="F414" s="352"/>
      <c r="G414" s="357"/>
      <c r="H414" s="348"/>
      <c r="I414" s="344" t="e">
        <f t="shared" si="19"/>
        <v>#DIV/0!</v>
      </c>
      <c r="J414" s="1"/>
      <c r="K414" s="1"/>
    </row>
    <row r="415" spans="1:11" s="24" customFormat="1" ht="12.75" customHeight="1">
      <c r="A415" s="48" t="s">
        <v>88</v>
      </c>
      <c r="B415" s="22">
        <v>2004</v>
      </c>
      <c r="C415" s="55" t="s">
        <v>283</v>
      </c>
      <c r="D415" s="10" t="s">
        <v>312</v>
      </c>
      <c r="E415" s="243"/>
      <c r="F415" s="352"/>
      <c r="G415" s="357"/>
      <c r="H415" s="348"/>
      <c r="I415" s="344" t="e">
        <f t="shared" si="19"/>
        <v>#DIV/0!</v>
      </c>
      <c r="J415" s="1"/>
      <c r="K415" s="1"/>
    </row>
    <row r="416" spans="1:11" s="24" customFormat="1" ht="12.75" customHeight="1">
      <c r="A416" s="48" t="s">
        <v>88</v>
      </c>
      <c r="B416" s="22">
        <v>2004</v>
      </c>
      <c r="C416" s="55" t="s">
        <v>467</v>
      </c>
      <c r="D416" s="10" t="s">
        <v>319</v>
      </c>
      <c r="E416" s="243"/>
      <c r="F416" s="352"/>
      <c r="G416" s="357"/>
      <c r="H416" s="348"/>
      <c r="I416" s="344" t="e">
        <f t="shared" si="19"/>
        <v>#DIV/0!</v>
      </c>
      <c r="J416" s="1"/>
      <c r="K416" s="1"/>
    </row>
    <row r="417" spans="1:11" s="8" customFormat="1" ht="12.75" customHeight="1">
      <c r="A417" s="48" t="s">
        <v>88</v>
      </c>
      <c r="B417" s="22">
        <v>2004</v>
      </c>
      <c r="C417" s="55" t="s">
        <v>467</v>
      </c>
      <c r="D417" s="10" t="s">
        <v>356</v>
      </c>
      <c r="E417" s="244"/>
      <c r="F417" s="352"/>
      <c r="G417" s="357"/>
      <c r="H417" s="348"/>
      <c r="I417" s="344" t="e">
        <f t="shared" si="19"/>
        <v>#DIV/0!</v>
      </c>
      <c r="J417" s="1"/>
      <c r="K417" s="1"/>
    </row>
    <row r="418" spans="1:11" s="165" customFormat="1" ht="3" customHeight="1">
      <c r="A418" s="217"/>
      <c r="B418" s="166"/>
      <c r="C418" s="185"/>
      <c r="F418" s="198"/>
      <c r="G418" s="215"/>
      <c r="H418" s="207"/>
      <c r="I418" s="189"/>
      <c r="J418" s="1"/>
      <c r="K418" s="1"/>
    </row>
    <row r="419" spans="1:10" s="8" customFormat="1" ht="12.75" customHeight="1">
      <c r="A419" s="48" t="s">
        <v>88</v>
      </c>
      <c r="B419" s="22">
        <v>2004</v>
      </c>
      <c r="C419" s="24"/>
      <c r="D419" s="24" t="s">
        <v>482</v>
      </c>
      <c r="E419" s="24"/>
      <c r="F419" s="26">
        <v>6</v>
      </c>
      <c r="G419" s="87"/>
      <c r="H419" s="128">
        <f>65.415*1000/5.991</f>
        <v>10918.878317476216</v>
      </c>
      <c r="I419" s="26">
        <f t="shared" si="19"/>
        <v>1819.8130529127027</v>
      </c>
      <c r="J419" s="60"/>
    </row>
    <row r="420" spans="1:10" s="8" customFormat="1" ht="12.75" customHeight="1">
      <c r="A420" s="48"/>
      <c r="B420" s="22"/>
      <c r="C420" s="24"/>
      <c r="D420" s="24"/>
      <c r="E420" s="24"/>
      <c r="F420" s="26"/>
      <c r="G420" s="87"/>
      <c r="H420" s="128"/>
      <c r="I420" s="26"/>
      <c r="J420" s="60"/>
    </row>
    <row r="421" spans="1:10" s="24" customFormat="1" ht="12.75" customHeight="1">
      <c r="A421" s="48" t="s">
        <v>83</v>
      </c>
      <c r="B421" s="22">
        <v>2004</v>
      </c>
      <c r="C421" s="251" t="s">
        <v>532</v>
      </c>
      <c r="D421" s="25" t="s">
        <v>42</v>
      </c>
      <c r="E421" s="8"/>
      <c r="F421" s="19">
        <v>1</v>
      </c>
      <c r="G421" s="79"/>
      <c r="H421" s="125">
        <v>1063</v>
      </c>
      <c r="I421" s="69">
        <f>$H421/$F421</f>
        <v>1063</v>
      </c>
      <c r="J421" s="83"/>
    </row>
    <row r="422" spans="1:10" s="8" customFormat="1" ht="12.75" customHeight="1">
      <c r="A422" s="50"/>
      <c r="B422" s="5"/>
      <c r="C422" s="5"/>
      <c r="E422" s="24"/>
      <c r="F422" s="26"/>
      <c r="G422" s="87"/>
      <c r="H422" s="128"/>
      <c r="I422" s="26"/>
      <c r="J422" s="60"/>
    </row>
    <row r="423" spans="1:10" s="8" customFormat="1" ht="12.75" customHeight="1">
      <c r="A423" s="48" t="s">
        <v>87</v>
      </c>
      <c r="B423" s="22">
        <v>2003</v>
      </c>
      <c r="C423" s="55" t="s">
        <v>725</v>
      </c>
      <c r="D423" s="10" t="s">
        <v>314</v>
      </c>
      <c r="E423" s="242"/>
      <c r="F423" s="352">
        <v>0.11843999999999999</v>
      </c>
      <c r="G423" s="357" t="s">
        <v>10</v>
      </c>
      <c r="H423" s="363">
        <f>62/0.88603</f>
        <v>69.97505727797028</v>
      </c>
      <c r="I423" s="365">
        <f>$H423/$F423</f>
        <v>590.8059547278815</v>
      </c>
      <c r="J423" s="60"/>
    </row>
    <row r="424" spans="1:10" s="8" customFormat="1" ht="12.75" customHeight="1">
      <c r="A424" s="48" t="s">
        <v>87</v>
      </c>
      <c r="B424" s="22">
        <v>2003</v>
      </c>
      <c r="C424" s="55" t="s">
        <v>25</v>
      </c>
      <c r="D424" s="10" t="s">
        <v>335</v>
      </c>
      <c r="E424" s="243"/>
      <c r="F424" s="352"/>
      <c r="G424" s="357"/>
      <c r="H424" s="363"/>
      <c r="I424" s="365"/>
      <c r="J424" s="60"/>
    </row>
    <row r="425" spans="1:10" s="8" customFormat="1" ht="12.75" customHeight="1">
      <c r="A425" s="48" t="s">
        <v>87</v>
      </c>
      <c r="B425" s="22">
        <v>2003</v>
      </c>
      <c r="C425" s="55" t="s">
        <v>47</v>
      </c>
      <c r="D425" s="10" t="s">
        <v>352</v>
      </c>
      <c r="E425" s="243"/>
      <c r="F425" s="352"/>
      <c r="G425" s="357"/>
      <c r="H425" s="363"/>
      <c r="I425" s="365"/>
      <c r="J425" s="60"/>
    </row>
    <row r="426" spans="1:10" s="24" customFormat="1" ht="12.75" customHeight="1">
      <c r="A426" s="48" t="s">
        <v>87</v>
      </c>
      <c r="B426" s="22">
        <v>2003</v>
      </c>
      <c r="C426" s="55" t="s">
        <v>478</v>
      </c>
      <c r="D426" s="10" t="s">
        <v>327</v>
      </c>
      <c r="E426" s="244"/>
      <c r="F426" s="352"/>
      <c r="G426" s="357"/>
      <c r="H426" s="363"/>
      <c r="I426" s="365"/>
      <c r="J426" s="83"/>
    </row>
    <row r="427" spans="1:10" s="24" customFormat="1" ht="3" customHeight="1">
      <c r="A427" s="217"/>
      <c r="B427" s="166"/>
      <c r="C427" s="166"/>
      <c r="D427" s="180"/>
      <c r="E427" s="180"/>
      <c r="F427" s="172"/>
      <c r="G427" s="196"/>
      <c r="H427" s="183"/>
      <c r="I427" s="184"/>
      <c r="J427" s="83"/>
    </row>
    <row r="428" spans="1:9" ht="12.75" customHeight="1">
      <c r="A428" s="48" t="s">
        <v>87</v>
      </c>
      <c r="B428" s="22">
        <v>2003</v>
      </c>
      <c r="C428" s="55" t="s">
        <v>14</v>
      </c>
      <c r="D428" s="10" t="s">
        <v>345</v>
      </c>
      <c r="E428" s="252"/>
      <c r="F428" s="345">
        <v>0.00714</v>
      </c>
      <c r="G428" s="100"/>
      <c r="H428" s="354">
        <f>4/0.88603</f>
        <v>4.514519824385179</v>
      </c>
      <c r="I428" s="349">
        <f>$H428/$F428</f>
        <v>632.285689689801</v>
      </c>
    </row>
    <row r="429" spans="1:9" ht="12.75" customHeight="1">
      <c r="A429" s="48" t="s">
        <v>87</v>
      </c>
      <c r="B429" s="22">
        <v>2003</v>
      </c>
      <c r="C429" s="55" t="s">
        <v>467</v>
      </c>
      <c r="D429" s="10" t="s">
        <v>315</v>
      </c>
      <c r="E429" s="253"/>
      <c r="F429" s="345"/>
      <c r="G429" s="100" t="s">
        <v>10</v>
      </c>
      <c r="H429" s="355">
        <v>1160.699</v>
      </c>
      <c r="I429" s="350" t="e">
        <f>$H429/$F429</f>
        <v>#DIV/0!</v>
      </c>
    </row>
    <row r="430" spans="1:9" ht="12.75" customHeight="1">
      <c r="A430" s="48" t="s">
        <v>87</v>
      </c>
      <c r="B430" s="22">
        <v>2003</v>
      </c>
      <c r="C430" s="55" t="s">
        <v>467</v>
      </c>
      <c r="D430" s="10" t="s">
        <v>354</v>
      </c>
      <c r="E430" s="254"/>
      <c r="F430" s="345"/>
      <c r="G430" s="100"/>
      <c r="H430" s="355">
        <v>1160.699</v>
      </c>
      <c r="I430" s="350" t="e">
        <f>$H430/$F430</f>
        <v>#DIV/0!</v>
      </c>
    </row>
    <row r="431" spans="1:9" ht="3" customHeight="1">
      <c r="A431" s="217"/>
      <c r="B431" s="166"/>
      <c r="C431" s="166"/>
      <c r="D431" s="180"/>
      <c r="E431" s="225"/>
      <c r="F431" s="189"/>
      <c r="G431" s="196"/>
      <c r="H431" s="207"/>
      <c r="I431" s="189"/>
    </row>
    <row r="432" spans="1:9" ht="12.75" customHeight="1">
      <c r="A432" s="48" t="s">
        <v>87</v>
      </c>
      <c r="B432" s="22">
        <v>2003</v>
      </c>
      <c r="C432" s="55" t="s">
        <v>720</v>
      </c>
      <c r="D432" s="75" t="s">
        <v>373</v>
      </c>
      <c r="E432" s="252"/>
      <c r="F432" s="352">
        <v>0.03359999999999999</v>
      </c>
      <c r="G432" s="83"/>
      <c r="H432" s="362">
        <f>26/0.88603</f>
        <v>29.344378858503664</v>
      </c>
      <c r="I432" s="364">
        <f aca="true" t="shared" si="20" ref="I432:I438">$H432/$F432</f>
        <v>873.3446088840378</v>
      </c>
    </row>
    <row r="433" spans="1:9" ht="12.75" customHeight="1">
      <c r="A433" s="48" t="s">
        <v>87</v>
      </c>
      <c r="B433" s="22">
        <v>2003</v>
      </c>
      <c r="C433" s="55" t="s">
        <v>479</v>
      </c>
      <c r="D433" s="75" t="s">
        <v>374</v>
      </c>
      <c r="E433" s="253"/>
      <c r="F433" s="352"/>
      <c r="G433" s="83"/>
      <c r="H433" s="363">
        <v>1160.699</v>
      </c>
      <c r="I433" s="365" t="e">
        <f t="shared" si="20"/>
        <v>#DIV/0!</v>
      </c>
    </row>
    <row r="434" spans="1:9" ht="12.75" customHeight="1">
      <c r="A434" s="48" t="s">
        <v>87</v>
      </c>
      <c r="B434" s="22">
        <v>2003</v>
      </c>
      <c r="C434" s="55" t="s">
        <v>15</v>
      </c>
      <c r="D434" s="75" t="s">
        <v>312</v>
      </c>
      <c r="E434" s="253"/>
      <c r="F434" s="352"/>
      <c r="G434" s="83" t="s">
        <v>10</v>
      </c>
      <c r="H434" s="363">
        <v>1160.699</v>
      </c>
      <c r="I434" s="365" t="e">
        <f t="shared" si="20"/>
        <v>#DIV/0!</v>
      </c>
    </row>
    <row r="435" spans="1:9" ht="12.75" customHeight="1">
      <c r="A435" s="48" t="s">
        <v>87</v>
      </c>
      <c r="B435" s="22">
        <v>2003</v>
      </c>
      <c r="C435" s="55" t="s">
        <v>467</v>
      </c>
      <c r="D435" s="75" t="s">
        <v>319</v>
      </c>
      <c r="E435" s="253"/>
      <c r="F435" s="352"/>
      <c r="G435" s="83"/>
      <c r="H435" s="363">
        <v>1160.699</v>
      </c>
      <c r="I435" s="365" t="e">
        <f t="shared" si="20"/>
        <v>#DIV/0!</v>
      </c>
    </row>
    <row r="436" spans="1:9" ht="12.75" customHeight="1">
      <c r="A436" s="48" t="s">
        <v>87</v>
      </c>
      <c r="B436" s="22">
        <v>2003</v>
      </c>
      <c r="C436" s="55" t="s">
        <v>467</v>
      </c>
      <c r="D436" s="75" t="s">
        <v>356</v>
      </c>
      <c r="E436" s="254"/>
      <c r="F436" s="352"/>
      <c r="G436" s="83"/>
      <c r="H436" s="363">
        <v>1160.699</v>
      </c>
      <c r="I436" s="365" t="e">
        <f t="shared" si="20"/>
        <v>#DIV/0!</v>
      </c>
    </row>
    <row r="437" spans="1:9" ht="3" customHeight="1">
      <c r="A437" s="217"/>
      <c r="B437" s="166"/>
      <c r="C437" s="185"/>
      <c r="D437" s="180"/>
      <c r="E437" s="180"/>
      <c r="F437" s="198"/>
      <c r="G437" s="196"/>
      <c r="H437" s="200"/>
      <c r="I437" s="198"/>
    </row>
    <row r="438" spans="1:9" ht="12.75" customHeight="1">
      <c r="A438" s="48" t="s">
        <v>87</v>
      </c>
      <c r="B438" s="22">
        <v>2003</v>
      </c>
      <c r="C438" s="22"/>
      <c r="D438" s="25" t="s">
        <v>482</v>
      </c>
      <c r="E438" s="25"/>
      <c r="F438" s="19">
        <v>24.48376</v>
      </c>
      <c r="G438" s="83"/>
      <c r="H438" s="126">
        <f>12759/0.88603</f>
        <v>14400.189609832625</v>
      </c>
      <c r="I438" s="21">
        <f t="shared" si="20"/>
        <v>588.1527024375596</v>
      </c>
    </row>
    <row r="439" spans="1:9" ht="12.75" customHeight="1">
      <c r="A439" s="8"/>
      <c r="B439" s="22"/>
      <c r="C439" s="9"/>
      <c r="D439" s="10"/>
      <c r="E439" s="10"/>
      <c r="F439" s="42"/>
      <c r="G439" s="79"/>
      <c r="H439" s="123"/>
      <c r="I439" s="15"/>
    </row>
    <row r="440" spans="1:9" ht="3" customHeight="1">
      <c r="A440" s="8"/>
      <c r="B440" s="22"/>
      <c r="C440" s="9"/>
      <c r="D440" s="10"/>
      <c r="E440" s="10"/>
      <c r="F440" s="42"/>
      <c r="G440" s="79"/>
      <c r="H440" s="123"/>
      <c r="I440" s="15"/>
    </row>
    <row r="441" spans="1:9" ht="12.75" customHeight="1">
      <c r="A441" s="48" t="s">
        <v>87</v>
      </c>
      <c r="B441" s="22">
        <v>2004</v>
      </c>
      <c r="C441" s="55" t="s">
        <v>725</v>
      </c>
      <c r="D441" s="10" t="s">
        <v>314</v>
      </c>
      <c r="E441" s="242"/>
      <c r="F441" s="352">
        <v>0.23856</v>
      </c>
      <c r="G441" s="357" t="s">
        <v>10</v>
      </c>
      <c r="H441" s="363">
        <f>237/0.80537</f>
        <v>294.27468120242867</v>
      </c>
      <c r="I441" s="365">
        <f>$H441/$F441</f>
        <v>1233.545779688249</v>
      </c>
    </row>
    <row r="442" spans="1:9" ht="12.75" customHeight="1">
      <c r="A442" s="48" t="s">
        <v>87</v>
      </c>
      <c r="B442" s="22">
        <v>2004</v>
      </c>
      <c r="C442" s="55" t="s">
        <v>25</v>
      </c>
      <c r="D442" s="10" t="s">
        <v>335</v>
      </c>
      <c r="E442" s="243"/>
      <c r="F442" s="352"/>
      <c r="G442" s="357"/>
      <c r="H442" s="363"/>
      <c r="I442" s="365"/>
    </row>
    <row r="443" spans="1:9" ht="12.75" customHeight="1">
      <c r="A443" s="48" t="s">
        <v>87</v>
      </c>
      <c r="B443" s="22">
        <v>2004</v>
      </c>
      <c r="C443" s="55" t="s">
        <v>47</v>
      </c>
      <c r="D443" s="10" t="s">
        <v>352</v>
      </c>
      <c r="E443" s="243"/>
      <c r="F443" s="352"/>
      <c r="G443" s="357"/>
      <c r="H443" s="363"/>
      <c r="I443" s="365"/>
    </row>
    <row r="444" spans="1:9" ht="12.75" customHeight="1">
      <c r="A444" s="48" t="s">
        <v>87</v>
      </c>
      <c r="B444" s="22">
        <v>2004</v>
      </c>
      <c r="C444" s="55" t="s">
        <v>478</v>
      </c>
      <c r="D444" s="10" t="s">
        <v>327</v>
      </c>
      <c r="E444" s="244"/>
      <c r="F444" s="352"/>
      <c r="G444" s="357"/>
      <c r="H444" s="363"/>
      <c r="I444" s="365"/>
    </row>
    <row r="445" spans="1:9" ht="3" customHeight="1">
      <c r="A445" s="217"/>
      <c r="B445" s="166"/>
      <c r="C445" s="166"/>
      <c r="D445" s="180"/>
      <c r="E445" s="180"/>
      <c r="F445" s="172"/>
      <c r="G445" s="196"/>
      <c r="H445" s="183"/>
      <c r="I445" s="184"/>
    </row>
    <row r="446" spans="1:9" ht="12.75" customHeight="1">
      <c r="A446" s="48" t="s">
        <v>87</v>
      </c>
      <c r="B446" s="22">
        <v>2004</v>
      </c>
      <c r="C446" s="55" t="s">
        <v>14</v>
      </c>
      <c r="D446" s="10" t="s">
        <v>345</v>
      </c>
      <c r="E446" s="252"/>
      <c r="F446" s="345">
        <v>0.20257999999999998</v>
      </c>
      <c r="G446" s="100"/>
      <c r="H446" s="354">
        <f>117/0.80537</f>
        <v>145.2748426189205</v>
      </c>
      <c r="I446" s="349">
        <f>$H446/$F446</f>
        <v>717.1233222377358</v>
      </c>
    </row>
    <row r="447" spans="1:9" ht="12.75" customHeight="1">
      <c r="A447" s="48" t="s">
        <v>87</v>
      </c>
      <c r="B447" s="22">
        <v>2004</v>
      </c>
      <c r="C447" s="55" t="s">
        <v>467</v>
      </c>
      <c r="D447" s="10" t="s">
        <v>315</v>
      </c>
      <c r="E447" s="253"/>
      <c r="F447" s="345"/>
      <c r="G447" s="100" t="s">
        <v>10</v>
      </c>
      <c r="H447" s="355">
        <v>1160.699</v>
      </c>
      <c r="I447" s="350" t="e">
        <f>$H447/$F447</f>
        <v>#DIV/0!</v>
      </c>
    </row>
    <row r="448" spans="1:9" ht="12.75" customHeight="1">
      <c r="A448" s="48" t="s">
        <v>87</v>
      </c>
      <c r="B448" s="22">
        <v>2004</v>
      </c>
      <c r="C448" s="55" t="s">
        <v>467</v>
      </c>
      <c r="D448" s="10" t="s">
        <v>354</v>
      </c>
      <c r="E448" s="254"/>
      <c r="F448" s="345"/>
      <c r="G448" s="100"/>
      <c r="H448" s="355">
        <v>1160.699</v>
      </c>
      <c r="I448" s="350" t="e">
        <f>$H448/$F448</f>
        <v>#DIV/0!</v>
      </c>
    </row>
    <row r="449" spans="1:9" ht="3" customHeight="1">
      <c r="A449" s="217"/>
      <c r="B449" s="166"/>
      <c r="C449" s="166"/>
      <c r="D449" s="180"/>
      <c r="E449" s="225"/>
      <c r="F449" s="189"/>
      <c r="G449" s="196"/>
      <c r="H449" s="207"/>
      <c r="I449" s="189"/>
    </row>
    <row r="450" spans="1:9" ht="12.75" customHeight="1">
      <c r="A450" s="48" t="s">
        <v>87</v>
      </c>
      <c r="B450" s="22">
        <v>2004</v>
      </c>
      <c r="C450" s="55" t="s">
        <v>720</v>
      </c>
      <c r="D450" s="75" t="s">
        <v>373</v>
      </c>
      <c r="E450" s="252"/>
      <c r="F450" s="352">
        <v>0.19039999999999999</v>
      </c>
      <c r="G450" s="83"/>
      <c r="H450" s="362">
        <f>73/0.80537</f>
        <v>90.64156847163416</v>
      </c>
      <c r="I450" s="364">
        <f aca="true" t="shared" si="21" ref="I450:I456">$H450/$F450</f>
        <v>476.05865793925506</v>
      </c>
    </row>
    <row r="451" spans="1:9" ht="12.75" customHeight="1">
      <c r="A451" s="48" t="s">
        <v>87</v>
      </c>
      <c r="B451" s="22">
        <v>2004</v>
      </c>
      <c r="C451" s="55" t="s">
        <v>479</v>
      </c>
      <c r="D451" s="75" t="s">
        <v>374</v>
      </c>
      <c r="E451" s="253"/>
      <c r="F451" s="352"/>
      <c r="G451" s="83"/>
      <c r="H451" s="363">
        <v>1160.699</v>
      </c>
      <c r="I451" s="365" t="e">
        <f t="shared" si="21"/>
        <v>#DIV/0!</v>
      </c>
    </row>
    <row r="452" spans="1:9" ht="12.75" customHeight="1">
      <c r="A452" s="48" t="s">
        <v>87</v>
      </c>
      <c r="B452" s="22">
        <v>2004</v>
      </c>
      <c r="C452" s="55" t="s">
        <v>15</v>
      </c>
      <c r="D452" s="75" t="s">
        <v>312</v>
      </c>
      <c r="E452" s="253"/>
      <c r="F452" s="352"/>
      <c r="G452" s="83" t="s">
        <v>10</v>
      </c>
      <c r="H452" s="363">
        <v>1160.699</v>
      </c>
      <c r="I452" s="365" t="e">
        <f t="shared" si="21"/>
        <v>#DIV/0!</v>
      </c>
    </row>
    <row r="453" spans="1:10" s="8" customFormat="1" ht="12.75" customHeight="1">
      <c r="A453" s="48" t="s">
        <v>87</v>
      </c>
      <c r="B453" s="22">
        <v>2004</v>
      </c>
      <c r="C453" s="55" t="s">
        <v>467</v>
      </c>
      <c r="D453" s="75" t="s">
        <v>319</v>
      </c>
      <c r="E453" s="253"/>
      <c r="F453" s="352"/>
      <c r="G453" s="83"/>
      <c r="H453" s="363">
        <v>1160.699</v>
      </c>
      <c r="I453" s="365" t="e">
        <f t="shared" si="21"/>
        <v>#DIV/0!</v>
      </c>
      <c r="J453" s="79"/>
    </row>
    <row r="454" spans="1:10" s="8" customFormat="1" ht="12.75" customHeight="1">
      <c r="A454" s="48" t="s">
        <v>87</v>
      </c>
      <c r="B454" s="22">
        <v>2004</v>
      </c>
      <c r="C454" s="55" t="s">
        <v>467</v>
      </c>
      <c r="D454" s="75" t="s">
        <v>356</v>
      </c>
      <c r="E454" s="254"/>
      <c r="F454" s="352"/>
      <c r="G454" s="83"/>
      <c r="H454" s="363">
        <v>1160.699</v>
      </c>
      <c r="I454" s="365" t="e">
        <f t="shared" si="21"/>
        <v>#DIV/0!</v>
      </c>
      <c r="J454" s="79"/>
    </row>
    <row r="455" spans="1:10" s="8" customFormat="1" ht="3" customHeight="1">
      <c r="A455" s="217"/>
      <c r="B455" s="166"/>
      <c r="C455" s="185"/>
      <c r="D455" s="180"/>
      <c r="E455" s="180"/>
      <c r="F455" s="198"/>
      <c r="G455" s="196"/>
      <c r="H455" s="200"/>
      <c r="I455" s="198"/>
      <c r="J455" s="79"/>
    </row>
    <row r="456" spans="1:10" s="8" customFormat="1" ht="12.75" customHeight="1">
      <c r="A456" s="48" t="s">
        <v>87</v>
      </c>
      <c r="B456" s="22">
        <v>2004</v>
      </c>
      <c r="C456" s="22"/>
      <c r="D456" s="25" t="s">
        <v>482</v>
      </c>
      <c r="E456" s="25"/>
      <c r="F456" s="19">
        <v>27.265</v>
      </c>
      <c r="G456" s="83"/>
      <c r="H456" s="126">
        <f>14460/0.80537</f>
        <v>17954.48054931274</v>
      </c>
      <c r="I456" s="21">
        <f t="shared" si="21"/>
        <v>658.5175334426092</v>
      </c>
      <c r="J456" s="79"/>
    </row>
    <row r="457" spans="1:9" ht="12.75" customHeight="1">
      <c r="A457" s="50"/>
      <c r="C457" s="5"/>
      <c r="D457" s="8"/>
      <c r="E457" s="24"/>
      <c r="F457" s="26"/>
      <c r="G457" s="87"/>
      <c r="H457" s="128"/>
      <c r="I457" s="26"/>
    </row>
    <row r="458" spans="1:10" s="8" customFormat="1" ht="12.75" customHeight="1">
      <c r="A458" s="48" t="s">
        <v>534</v>
      </c>
      <c r="B458" s="22">
        <v>2003</v>
      </c>
      <c r="C458" s="55" t="s">
        <v>720</v>
      </c>
      <c r="D458" s="75" t="s">
        <v>373</v>
      </c>
      <c r="E458" s="252"/>
      <c r="F458" s="366">
        <v>0</v>
      </c>
      <c r="G458" s="83"/>
      <c r="H458" s="362" t="s">
        <v>71</v>
      </c>
      <c r="I458" s="364" t="s">
        <v>71</v>
      </c>
      <c r="J458" s="79"/>
    </row>
    <row r="459" spans="1:10" s="8" customFormat="1" ht="12.75" customHeight="1">
      <c r="A459" s="48" t="s">
        <v>534</v>
      </c>
      <c r="B459" s="22">
        <v>2003</v>
      </c>
      <c r="C459" s="55" t="s">
        <v>479</v>
      </c>
      <c r="D459" s="75" t="s">
        <v>374</v>
      </c>
      <c r="E459" s="253"/>
      <c r="F459" s="366"/>
      <c r="G459" s="83"/>
      <c r="H459" s="363"/>
      <c r="I459" s="365"/>
      <c r="J459" s="79"/>
    </row>
    <row r="460" spans="1:10" s="8" customFormat="1" ht="12.75" customHeight="1">
      <c r="A460" s="48" t="s">
        <v>534</v>
      </c>
      <c r="B460" s="22">
        <v>2003</v>
      </c>
      <c r="C460" s="55" t="s">
        <v>15</v>
      </c>
      <c r="D460" s="75" t="s">
        <v>312</v>
      </c>
      <c r="E460" s="253"/>
      <c r="F460" s="366"/>
      <c r="G460" s="83" t="s">
        <v>10</v>
      </c>
      <c r="H460" s="363"/>
      <c r="I460" s="365"/>
      <c r="J460" s="79"/>
    </row>
    <row r="461" spans="1:10" s="8" customFormat="1" ht="12.75" customHeight="1">
      <c r="A461" s="48" t="s">
        <v>534</v>
      </c>
      <c r="B461" s="22">
        <v>2003</v>
      </c>
      <c r="C461" s="55" t="s">
        <v>467</v>
      </c>
      <c r="D461" s="75" t="s">
        <v>319</v>
      </c>
      <c r="E461" s="253"/>
      <c r="F461" s="366"/>
      <c r="G461" s="83"/>
      <c r="H461" s="363"/>
      <c r="I461" s="365"/>
      <c r="J461" s="79"/>
    </row>
    <row r="462" spans="1:10" s="8" customFormat="1" ht="12.75" customHeight="1">
      <c r="A462" s="48" t="s">
        <v>534</v>
      </c>
      <c r="B462" s="22">
        <v>2003</v>
      </c>
      <c r="C462" s="55" t="s">
        <v>467</v>
      </c>
      <c r="D462" s="75" t="s">
        <v>356</v>
      </c>
      <c r="E462" s="254"/>
      <c r="F462" s="366"/>
      <c r="G462" s="83"/>
      <c r="H462" s="363"/>
      <c r="I462" s="365"/>
      <c r="J462" s="79"/>
    </row>
    <row r="463" spans="1:10" s="8" customFormat="1" ht="3" customHeight="1">
      <c r="A463" s="217"/>
      <c r="B463" s="166"/>
      <c r="C463" s="185"/>
      <c r="D463" s="180"/>
      <c r="E463" s="180"/>
      <c r="F463" s="211"/>
      <c r="G463" s="196"/>
      <c r="H463" s="200"/>
      <c r="I463" s="198"/>
      <c r="J463" s="79"/>
    </row>
    <row r="464" spans="1:10" s="8" customFormat="1" ht="12.75" customHeight="1">
      <c r="A464" s="48" t="s">
        <v>534</v>
      </c>
      <c r="B464" s="22">
        <v>2003</v>
      </c>
      <c r="C464" s="55"/>
      <c r="D464" s="75" t="s">
        <v>482</v>
      </c>
      <c r="E464" s="75"/>
      <c r="F464" s="76">
        <v>0</v>
      </c>
      <c r="G464" s="83" t="s">
        <v>10</v>
      </c>
      <c r="H464" s="134" t="s">
        <v>71</v>
      </c>
      <c r="I464" s="70" t="s">
        <v>71</v>
      </c>
      <c r="J464" s="79"/>
    </row>
    <row r="465" spans="1:10" s="8" customFormat="1" ht="12.75" customHeight="1">
      <c r="A465" s="48"/>
      <c r="B465" s="22"/>
      <c r="C465" s="55"/>
      <c r="D465" s="75"/>
      <c r="E465" s="75"/>
      <c r="F465" s="76"/>
      <c r="G465" s="83"/>
      <c r="H465" s="134"/>
      <c r="I465" s="70"/>
      <c r="J465" s="79"/>
    </row>
    <row r="466" spans="1:10" s="8" customFormat="1" ht="12.75" customHeight="1">
      <c r="A466" s="48" t="s">
        <v>534</v>
      </c>
      <c r="B466" s="22">
        <v>2004</v>
      </c>
      <c r="C466" s="55" t="s">
        <v>720</v>
      </c>
      <c r="D466" s="75" t="s">
        <v>373</v>
      </c>
      <c r="E466" s="252"/>
      <c r="F466" s="366">
        <v>0</v>
      </c>
      <c r="G466" s="83"/>
      <c r="H466" s="362" t="s">
        <v>71</v>
      </c>
      <c r="I466" s="364" t="s">
        <v>71</v>
      </c>
      <c r="J466" s="79"/>
    </row>
    <row r="467" spans="1:10" s="8" customFormat="1" ht="12.75" customHeight="1">
      <c r="A467" s="48" t="s">
        <v>534</v>
      </c>
      <c r="B467" s="22">
        <v>2004</v>
      </c>
      <c r="C467" s="55" t="s">
        <v>479</v>
      </c>
      <c r="D467" s="75" t="s">
        <v>374</v>
      </c>
      <c r="E467" s="253"/>
      <c r="F467" s="366"/>
      <c r="G467" s="83"/>
      <c r="H467" s="363"/>
      <c r="I467" s="365"/>
      <c r="J467" s="79"/>
    </row>
    <row r="468" spans="1:10" s="8" customFormat="1" ht="12.75" customHeight="1">
      <c r="A468" s="48" t="s">
        <v>534</v>
      </c>
      <c r="B468" s="22">
        <v>2004</v>
      </c>
      <c r="C468" s="55" t="s">
        <v>15</v>
      </c>
      <c r="D468" s="75" t="s">
        <v>312</v>
      </c>
      <c r="E468" s="253"/>
      <c r="F468" s="366"/>
      <c r="G468" s="83" t="s">
        <v>10</v>
      </c>
      <c r="H468" s="363"/>
      <c r="I468" s="365"/>
      <c r="J468" s="79"/>
    </row>
    <row r="469" spans="1:10" s="8" customFormat="1" ht="12.75" customHeight="1">
      <c r="A469" s="48" t="s">
        <v>534</v>
      </c>
      <c r="B469" s="22">
        <v>2004</v>
      </c>
      <c r="C469" s="55" t="s">
        <v>467</v>
      </c>
      <c r="D469" s="75" t="s">
        <v>319</v>
      </c>
      <c r="E469" s="253"/>
      <c r="F469" s="366"/>
      <c r="G469" s="83"/>
      <c r="H469" s="363"/>
      <c r="I469" s="365"/>
      <c r="J469" s="79"/>
    </row>
    <row r="470" spans="1:10" s="8" customFormat="1" ht="12.75" customHeight="1">
      <c r="A470" s="48" t="s">
        <v>534</v>
      </c>
      <c r="B470" s="22">
        <v>2004</v>
      </c>
      <c r="C470" s="55" t="s">
        <v>467</v>
      </c>
      <c r="D470" s="75" t="s">
        <v>356</v>
      </c>
      <c r="E470" s="254"/>
      <c r="F470" s="366"/>
      <c r="G470" s="83"/>
      <c r="H470" s="363"/>
      <c r="I470" s="365"/>
      <c r="J470" s="79"/>
    </row>
    <row r="471" spans="1:10" s="8" customFormat="1" ht="3" customHeight="1">
      <c r="A471" s="217"/>
      <c r="B471" s="166"/>
      <c r="C471" s="185"/>
      <c r="D471" s="180"/>
      <c r="E471" s="180"/>
      <c r="F471" s="211"/>
      <c r="G471" s="196"/>
      <c r="H471" s="200"/>
      <c r="I471" s="198"/>
      <c r="J471" s="79"/>
    </row>
    <row r="472" spans="1:10" s="8" customFormat="1" ht="12.75" customHeight="1">
      <c r="A472" s="48" t="s">
        <v>534</v>
      </c>
      <c r="B472" s="22">
        <v>2004</v>
      </c>
      <c r="C472" s="55"/>
      <c r="D472" s="75" t="s">
        <v>482</v>
      </c>
      <c r="E472" s="75"/>
      <c r="F472" s="76">
        <v>0</v>
      </c>
      <c r="G472" s="83" t="s">
        <v>10</v>
      </c>
      <c r="H472" s="134" t="s">
        <v>71</v>
      </c>
      <c r="I472" s="70" t="s">
        <v>71</v>
      </c>
      <c r="J472" s="79"/>
    </row>
    <row r="473" spans="1:10" s="8" customFormat="1" ht="12.75" customHeight="1">
      <c r="A473" s="1"/>
      <c r="B473" s="1"/>
      <c r="C473" s="1"/>
      <c r="D473" s="1"/>
      <c r="E473" s="1"/>
      <c r="F473" s="1"/>
      <c r="G473" s="1"/>
      <c r="H473" s="144"/>
      <c r="I473" s="1"/>
      <c r="J473" s="79"/>
    </row>
    <row r="474" spans="1:10" s="8" customFormat="1" ht="3" customHeight="1">
      <c r="A474" s="1"/>
      <c r="B474" s="1"/>
      <c r="C474" s="1"/>
      <c r="D474" s="1"/>
      <c r="E474" s="1"/>
      <c r="F474" s="1"/>
      <c r="G474" s="1"/>
      <c r="H474" s="144"/>
      <c r="I474" s="1"/>
      <c r="J474" s="79"/>
    </row>
    <row r="475" spans="1:10" s="8" customFormat="1" ht="12.75" customHeight="1">
      <c r="A475" s="48" t="s">
        <v>78</v>
      </c>
      <c r="B475" s="22">
        <v>2003</v>
      </c>
      <c r="C475" s="9" t="s">
        <v>726</v>
      </c>
      <c r="D475" s="34" t="s">
        <v>329</v>
      </c>
      <c r="E475" s="10"/>
      <c r="F475" s="35">
        <v>17.3</v>
      </c>
      <c r="G475" s="79"/>
      <c r="H475" s="126">
        <f>9862/0.88603</f>
        <v>11130.548627021659</v>
      </c>
      <c r="I475" s="21">
        <f>$H475/$F475</f>
        <v>643.3843137006739</v>
      </c>
      <c r="J475" s="79"/>
    </row>
    <row r="476" spans="1:10" s="8" customFormat="1" ht="12.75" customHeight="1">
      <c r="A476" s="48" t="s">
        <v>78</v>
      </c>
      <c r="B476" s="22">
        <v>2003</v>
      </c>
      <c r="C476" s="37" t="s">
        <v>467</v>
      </c>
      <c r="D476" s="34" t="s">
        <v>313</v>
      </c>
      <c r="E476" s="10"/>
      <c r="F476" s="35">
        <v>7.3</v>
      </c>
      <c r="G476" s="79"/>
      <c r="H476" s="126">
        <f>5242/0.88603</f>
        <v>5916.278229856777</v>
      </c>
      <c r="I476" s="21">
        <f>$H476/$F476</f>
        <v>810.4490725831201</v>
      </c>
      <c r="J476" s="79"/>
    </row>
    <row r="477" spans="1:10" s="8" customFormat="1" ht="12.75" customHeight="1">
      <c r="A477" s="48" t="s">
        <v>78</v>
      </c>
      <c r="B477" s="22">
        <v>2003</v>
      </c>
      <c r="C477" s="37"/>
      <c r="D477" s="34" t="s">
        <v>482</v>
      </c>
      <c r="E477" s="10"/>
      <c r="F477" s="35">
        <v>20.1</v>
      </c>
      <c r="G477" s="79"/>
      <c r="H477" s="126">
        <f>16874/0.88603</f>
        <v>19044.501879168878</v>
      </c>
      <c r="I477" s="21">
        <f>$H477/$F477</f>
        <v>947.4876556800436</v>
      </c>
      <c r="J477" s="79"/>
    </row>
    <row r="478" spans="1:10" s="8" customFormat="1" ht="12.75" customHeight="1">
      <c r="A478" s="48"/>
      <c r="B478" s="22"/>
      <c r="C478" s="9"/>
      <c r="D478" s="10"/>
      <c r="E478" s="10"/>
      <c r="F478" s="42"/>
      <c r="G478" s="79"/>
      <c r="H478" s="126"/>
      <c r="I478" s="21"/>
      <c r="J478" s="79"/>
    </row>
    <row r="479" spans="1:10" s="8" customFormat="1" ht="12.75" customHeight="1">
      <c r="A479" s="48" t="s">
        <v>78</v>
      </c>
      <c r="B479" s="22">
        <v>2004</v>
      </c>
      <c r="C479" s="9" t="s">
        <v>726</v>
      </c>
      <c r="D479" s="34" t="s">
        <v>329</v>
      </c>
      <c r="E479" s="10"/>
      <c r="F479" s="35">
        <v>28.5</v>
      </c>
      <c r="G479" s="79"/>
      <c r="H479" s="126">
        <f>15609/0.80537</f>
        <v>19381.154003749827</v>
      </c>
      <c r="I479" s="21">
        <f>$H479/$F479</f>
        <v>680.040491359643</v>
      </c>
      <c r="J479" s="79"/>
    </row>
    <row r="480" spans="1:10" s="8" customFormat="1" ht="12.75" customHeight="1">
      <c r="A480" s="48" t="s">
        <v>78</v>
      </c>
      <c r="B480" s="22">
        <v>2004</v>
      </c>
      <c r="C480" s="37" t="s">
        <v>467</v>
      </c>
      <c r="D480" s="34" t="s">
        <v>313</v>
      </c>
      <c r="E480" s="10"/>
      <c r="F480" s="35">
        <v>6.7</v>
      </c>
      <c r="G480" s="79"/>
      <c r="H480" s="126">
        <f>5415/0.80537</f>
        <v>6723.617716080807</v>
      </c>
      <c r="I480" s="21">
        <f>$H480/$F480</f>
        <v>1003.5250322508667</v>
      </c>
      <c r="J480" s="79"/>
    </row>
    <row r="481" spans="1:10" s="8" customFormat="1" ht="12.75" customHeight="1">
      <c r="A481" s="48" t="s">
        <v>78</v>
      </c>
      <c r="B481" s="22">
        <v>2004</v>
      </c>
      <c r="C481" s="37"/>
      <c r="D481" s="34" t="s">
        <v>482</v>
      </c>
      <c r="E481" s="10"/>
      <c r="F481" s="35">
        <v>37.3</v>
      </c>
      <c r="G481" s="79"/>
      <c r="H481" s="126">
        <f>29581/0.80537</f>
        <v>36729.7018761563</v>
      </c>
      <c r="I481" s="21">
        <f>$H481/$F481</f>
        <v>984.7105060631717</v>
      </c>
      <c r="J481" s="79"/>
    </row>
    <row r="482" spans="1:10" s="8" customFormat="1" ht="12.75" customHeight="1">
      <c r="A482" s="1"/>
      <c r="B482" s="1"/>
      <c r="C482" s="1"/>
      <c r="D482" s="1"/>
      <c r="E482" s="1"/>
      <c r="F482" s="14"/>
      <c r="G482" s="1"/>
      <c r="H482" s="144"/>
      <c r="I482" s="1"/>
      <c r="J482" s="79"/>
    </row>
    <row r="483" spans="1:10" s="8" customFormat="1" ht="12.75" customHeight="1">
      <c r="A483" s="48" t="s">
        <v>251</v>
      </c>
      <c r="B483" s="22">
        <v>2003</v>
      </c>
      <c r="C483" s="55" t="s">
        <v>282</v>
      </c>
      <c r="D483" s="10" t="s">
        <v>365</v>
      </c>
      <c r="E483" s="242"/>
      <c r="F483" s="345">
        <v>10</v>
      </c>
      <c r="G483" s="368"/>
      <c r="H483" s="351">
        <f>4249/0.88603</f>
        <v>4795.548683453157</v>
      </c>
      <c r="I483" s="347">
        <f>$H483/$F483</f>
        <v>479.55486834531564</v>
      </c>
      <c r="J483" s="79"/>
    </row>
    <row r="484" spans="1:10" s="8" customFormat="1" ht="12.75" customHeight="1">
      <c r="A484" s="48" t="s">
        <v>251</v>
      </c>
      <c r="B484" s="22">
        <v>2003</v>
      </c>
      <c r="C484" s="55" t="s">
        <v>280</v>
      </c>
      <c r="D484" s="10" t="s">
        <v>378</v>
      </c>
      <c r="E484" s="243"/>
      <c r="F484" s="367"/>
      <c r="G484" s="368"/>
      <c r="H484" s="324"/>
      <c r="I484" s="325" t="e">
        <f>$H484/$F484</f>
        <v>#DIV/0!</v>
      </c>
      <c r="J484" s="79"/>
    </row>
    <row r="485" spans="1:10" s="8" customFormat="1" ht="12.75" customHeight="1">
      <c r="A485" s="48" t="s">
        <v>251</v>
      </c>
      <c r="B485" s="22">
        <v>2003</v>
      </c>
      <c r="C485" s="55" t="s">
        <v>281</v>
      </c>
      <c r="D485" s="10" t="s">
        <v>379</v>
      </c>
      <c r="E485" s="244"/>
      <c r="F485" s="367"/>
      <c r="G485" s="368"/>
      <c r="H485" s="324"/>
      <c r="I485" s="325" t="e">
        <f>$H485/$F485</f>
        <v>#DIV/0!</v>
      </c>
      <c r="J485" s="79"/>
    </row>
    <row r="486" spans="1:10" s="8" customFormat="1" ht="3" customHeight="1">
      <c r="A486" s="50"/>
      <c r="B486" s="5"/>
      <c r="C486" s="37"/>
      <c r="D486" s="34"/>
      <c r="E486" s="10"/>
      <c r="F486" s="35"/>
      <c r="G486" s="86"/>
      <c r="H486" s="138"/>
      <c r="I486" s="14"/>
      <c r="J486" s="79"/>
    </row>
    <row r="487" spans="1:10" s="8" customFormat="1" ht="12.75" customHeight="1">
      <c r="A487" s="48" t="s">
        <v>251</v>
      </c>
      <c r="B487" s="22">
        <v>2003</v>
      </c>
      <c r="C487" s="55" t="s">
        <v>725</v>
      </c>
      <c r="D487" s="10" t="s">
        <v>314</v>
      </c>
      <c r="E487" s="242"/>
      <c r="F487" s="352">
        <v>0</v>
      </c>
      <c r="G487" s="357" t="s">
        <v>10</v>
      </c>
      <c r="H487" s="362" t="s">
        <v>71</v>
      </c>
      <c r="I487" s="364" t="s">
        <v>71</v>
      </c>
      <c r="J487" s="79"/>
    </row>
    <row r="488" spans="1:10" s="8" customFormat="1" ht="12.75" customHeight="1">
      <c r="A488" s="48" t="s">
        <v>251</v>
      </c>
      <c r="B488" s="22">
        <v>2003</v>
      </c>
      <c r="C488" s="55" t="s">
        <v>25</v>
      </c>
      <c r="D488" s="10" t="s">
        <v>335</v>
      </c>
      <c r="E488" s="243"/>
      <c r="F488" s="352"/>
      <c r="G488" s="357"/>
      <c r="H488" s="363"/>
      <c r="I488" s="365" t="e">
        <f>$H488/$F488</f>
        <v>#DIV/0!</v>
      </c>
      <c r="J488" s="79"/>
    </row>
    <row r="489" spans="1:10" s="8" customFormat="1" ht="12.75" customHeight="1">
      <c r="A489" s="48" t="s">
        <v>251</v>
      </c>
      <c r="B489" s="22">
        <v>2003</v>
      </c>
      <c r="C489" s="55" t="s">
        <v>47</v>
      </c>
      <c r="D489" s="10" t="s">
        <v>352</v>
      </c>
      <c r="E489" s="243"/>
      <c r="F489" s="352"/>
      <c r="G489" s="357"/>
      <c r="H489" s="363"/>
      <c r="I489" s="365" t="e">
        <f>$H489/$F489</f>
        <v>#DIV/0!</v>
      </c>
      <c r="J489" s="79"/>
    </row>
    <row r="490" spans="1:10" s="8" customFormat="1" ht="12.75" customHeight="1">
      <c r="A490" s="48" t="s">
        <v>251</v>
      </c>
      <c r="B490" s="22">
        <v>2003</v>
      </c>
      <c r="C490" s="55" t="s">
        <v>478</v>
      </c>
      <c r="D490" s="10" t="s">
        <v>327</v>
      </c>
      <c r="E490" s="244"/>
      <c r="F490" s="352"/>
      <c r="G490" s="357"/>
      <c r="H490" s="363"/>
      <c r="I490" s="365" t="e">
        <f>$H490/$F490</f>
        <v>#DIV/0!</v>
      </c>
      <c r="J490" s="79"/>
    </row>
    <row r="491" spans="1:10" s="8" customFormat="1" ht="3" customHeight="1">
      <c r="A491" s="217"/>
      <c r="B491" s="166"/>
      <c r="C491" s="185"/>
      <c r="D491" s="165"/>
      <c r="E491" s="165"/>
      <c r="F491" s="198"/>
      <c r="G491" s="173"/>
      <c r="H491" s="207"/>
      <c r="I491" s="198"/>
      <c r="J491" s="79"/>
    </row>
    <row r="492" spans="1:10" s="8" customFormat="1" ht="12.75" customHeight="1">
      <c r="A492" s="48" t="s">
        <v>251</v>
      </c>
      <c r="B492" s="22">
        <v>2003</v>
      </c>
      <c r="C492" s="55" t="s">
        <v>14</v>
      </c>
      <c r="D492" s="10" t="s">
        <v>345</v>
      </c>
      <c r="E492" s="252"/>
      <c r="F492" s="353">
        <v>0</v>
      </c>
      <c r="G492" s="100"/>
      <c r="H492" s="354" t="s">
        <v>71</v>
      </c>
      <c r="I492" s="349" t="s">
        <v>71</v>
      </c>
      <c r="J492" s="79"/>
    </row>
    <row r="493" spans="1:10" s="8" customFormat="1" ht="12.75" customHeight="1">
      <c r="A493" s="48" t="s">
        <v>251</v>
      </c>
      <c r="B493" s="22">
        <v>2003</v>
      </c>
      <c r="C493" s="55" t="s">
        <v>467</v>
      </c>
      <c r="D493" s="10" t="s">
        <v>315</v>
      </c>
      <c r="E493" s="253"/>
      <c r="F493" s="353"/>
      <c r="G493" s="100" t="s">
        <v>10</v>
      </c>
      <c r="H493" s="355">
        <f>211.761</f>
        <v>211.761</v>
      </c>
      <c r="I493" s="350" t="e">
        <f>$H493/$F493</f>
        <v>#DIV/0!</v>
      </c>
      <c r="J493" s="79"/>
    </row>
    <row r="494" spans="1:10" s="8" customFormat="1" ht="12.75" customHeight="1">
      <c r="A494" s="48" t="s">
        <v>251</v>
      </c>
      <c r="B494" s="22">
        <v>2003</v>
      </c>
      <c r="C494" s="55" t="s">
        <v>467</v>
      </c>
      <c r="D494" s="10" t="s">
        <v>354</v>
      </c>
      <c r="E494" s="254"/>
      <c r="F494" s="353"/>
      <c r="G494" s="100"/>
      <c r="H494" s="355">
        <f>211.761</f>
        <v>211.761</v>
      </c>
      <c r="I494" s="350" t="e">
        <f>$H494/$F494</f>
        <v>#DIV/0!</v>
      </c>
      <c r="J494" s="79"/>
    </row>
    <row r="495" spans="1:9" ht="3" customHeight="1">
      <c r="A495" s="217"/>
      <c r="B495" s="166"/>
      <c r="C495" s="185"/>
      <c r="D495" s="165"/>
      <c r="E495" s="165"/>
      <c r="F495" s="198"/>
      <c r="G495" s="173"/>
      <c r="H495" s="207"/>
      <c r="I495" s="198"/>
    </row>
    <row r="496" spans="1:9" ht="12.75" customHeight="1">
      <c r="A496" s="48" t="s">
        <v>251</v>
      </c>
      <c r="B496" s="22">
        <v>2003</v>
      </c>
      <c r="C496" s="55" t="s">
        <v>720</v>
      </c>
      <c r="D496" s="75" t="s">
        <v>373</v>
      </c>
      <c r="E496" s="252"/>
      <c r="F496" s="366">
        <v>0</v>
      </c>
      <c r="G496" s="83"/>
      <c r="H496" s="362" t="s">
        <v>71</v>
      </c>
      <c r="I496" s="364" t="s">
        <v>71</v>
      </c>
    </row>
    <row r="497" spans="1:9" ht="12.75" customHeight="1">
      <c r="A497" s="48" t="s">
        <v>251</v>
      </c>
      <c r="B497" s="22">
        <v>2003</v>
      </c>
      <c r="C497" s="55" t="s">
        <v>479</v>
      </c>
      <c r="D497" s="75" t="s">
        <v>374</v>
      </c>
      <c r="E497" s="253"/>
      <c r="F497" s="366"/>
      <c r="G497" s="83"/>
      <c r="H497" s="363"/>
      <c r="I497" s="365"/>
    </row>
    <row r="498" spans="1:9" ht="12.75" customHeight="1">
      <c r="A498" s="48" t="s">
        <v>251</v>
      </c>
      <c r="B498" s="22">
        <v>2003</v>
      </c>
      <c r="C498" s="55" t="s">
        <v>15</v>
      </c>
      <c r="D498" s="75" t="s">
        <v>312</v>
      </c>
      <c r="E498" s="253"/>
      <c r="F498" s="366"/>
      <c r="G498" s="83" t="s">
        <v>10</v>
      </c>
      <c r="H498" s="363"/>
      <c r="I498" s="365"/>
    </row>
    <row r="499" spans="1:9" ht="12.75" customHeight="1">
      <c r="A499" s="48" t="s">
        <v>251</v>
      </c>
      <c r="B499" s="22">
        <v>2003</v>
      </c>
      <c r="C499" s="55" t="s">
        <v>467</v>
      </c>
      <c r="D499" s="75" t="s">
        <v>319</v>
      </c>
      <c r="E499" s="253"/>
      <c r="F499" s="366"/>
      <c r="G499" s="83"/>
      <c r="H499" s="363"/>
      <c r="I499" s="365"/>
    </row>
    <row r="500" spans="1:9" ht="12.75" customHeight="1">
      <c r="A500" s="48" t="s">
        <v>251</v>
      </c>
      <c r="B500" s="22">
        <v>2003</v>
      </c>
      <c r="C500" s="55" t="s">
        <v>467</v>
      </c>
      <c r="D500" s="75" t="s">
        <v>356</v>
      </c>
      <c r="E500" s="254"/>
      <c r="F500" s="366"/>
      <c r="G500" s="83"/>
      <c r="H500" s="363"/>
      <c r="I500" s="365"/>
    </row>
    <row r="501" spans="1:9" ht="12.75" customHeight="1">
      <c r="A501" s="48"/>
      <c r="B501" s="22"/>
      <c r="C501" s="48"/>
      <c r="D501" s="8"/>
      <c r="E501" s="8"/>
      <c r="F501" s="47"/>
      <c r="G501" s="79"/>
      <c r="H501" s="124"/>
      <c r="I501" s="29"/>
    </row>
    <row r="502" spans="1:9" ht="3" customHeight="1">
      <c r="A502" s="48"/>
      <c r="B502" s="22"/>
      <c r="C502" s="48"/>
      <c r="D502" s="8"/>
      <c r="E502" s="8"/>
      <c r="F502" s="47"/>
      <c r="G502" s="79"/>
      <c r="H502" s="124"/>
      <c r="I502" s="29"/>
    </row>
    <row r="503" spans="1:9" ht="12.75" customHeight="1">
      <c r="A503" s="48" t="s">
        <v>251</v>
      </c>
      <c r="B503" s="22">
        <v>2004</v>
      </c>
      <c r="C503" s="55" t="s">
        <v>725</v>
      </c>
      <c r="D503" s="10" t="s">
        <v>314</v>
      </c>
      <c r="E503" s="242"/>
      <c r="F503" s="352">
        <v>0</v>
      </c>
      <c r="G503" s="357" t="s">
        <v>10</v>
      </c>
      <c r="H503" s="362" t="s">
        <v>71</v>
      </c>
      <c r="I503" s="364" t="s">
        <v>71</v>
      </c>
    </row>
    <row r="504" spans="1:9" ht="12.75" customHeight="1">
      <c r="A504" s="48" t="s">
        <v>251</v>
      </c>
      <c r="B504" s="22">
        <v>2004</v>
      </c>
      <c r="C504" s="55" t="s">
        <v>25</v>
      </c>
      <c r="D504" s="10" t="s">
        <v>335</v>
      </c>
      <c r="E504" s="243"/>
      <c r="F504" s="352"/>
      <c r="G504" s="357"/>
      <c r="H504" s="363"/>
      <c r="I504" s="365" t="e">
        <f>$H504/$F504</f>
        <v>#DIV/0!</v>
      </c>
    </row>
    <row r="505" spans="1:9" ht="12.75" customHeight="1">
      <c r="A505" s="48" t="s">
        <v>251</v>
      </c>
      <c r="B505" s="22">
        <v>2004</v>
      </c>
      <c r="C505" s="55" t="s">
        <v>47</v>
      </c>
      <c r="D505" s="10" t="s">
        <v>352</v>
      </c>
      <c r="E505" s="243"/>
      <c r="F505" s="352"/>
      <c r="G505" s="357"/>
      <c r="H505" s="363"/>
      <c r="I505" s="365" t="e">
        <f>$H505/$F505</f>
        <v>#DIV/0!</v>
      </c>
    </row>
    <row r="506" spans="1:9" ht="12.75" customHeight="1">
      <c r="A506" s="48" t="s">
        <v>251</v>
      </c>
      <c r="B506" s="22">
        <v>2004</v>
      </c>
      <c r="C506" s="55" t="s">
        <v>478</v>
      </c>
      <c r="D506" s="10" t="s">
        <v>327</v>
      </c>
      <c r="E506" s="244"/>
      <c r="F506" s="352"/>
      <c r="G506" s="357"/>
      <c r="H506" s="363"/>
      <c r="I506" s="365" t="e">
        <f>$H506/$F506</f>
        <v>#DIV/0!</v>
      </c>
    </row>
    <row r="507" spans="1:9" ht="3" customHeight="1">
      <c r="A507" s="217"/>
      <c r="B507" s="166"/>
      <c r="C507" s="185"/>
      <c r="D507" s="165"/>
      <c r="E507" s="165"/>
      <c r="F507" s="198"/>
      <c r="G507" s="173"/>
      <c r="H507" s="207"/>
      <c r="I507" s="198"/>
    </row>
    <row r="508" spans="1:9" ht="12.75" customHeight="1">
      <c r="A508" s="48" t="s">
        <v>251</v>
      </c>
      <c r="B508" s="22">
        <v>2004</v>
      </c>
      <c r="C508" s="55" t="s">
        <v>14</v>
      </c>
      <c r="D508" s="10" t="s">
        <v>345</v>
      </c>
      <c r="E508" s="252"/>
      <c r="F508" s="353">
        <v>0</v>
      </c>
      <c r="G508" s="100"/>
      <c r="H508" s="354" t="s">
        <v>71</v>
      </c>
      <c r="I508" s="349" t="s">
        <v>71</v>
      </c>
    </row>
    <row r="509" spans="1:9" ht="12.75" customHeight="1">
      <c r="A509" s="48" t="s">
        <v>251</v>
      </c>
      <c r="B509" s="22">
        <v>2004</v>
      </c>
      <c r="C509" s="55" t="s">
        <v>467</v>
      </c>
      <c r="D509" s="10" t="s">
        <v>315</v>
      </c>
      <c r="E509" s="253"/>
      <c r="F509" s="353"/>
      <c r="G509" s="100" t="s">
        <v>10</v>
      </c>
      <c r="H509" s="355">
        <f>211.761</f>
        <v>211.761</v>
      </c>
      <c r="I509" s="350" t="e">
        <f>$H509/$F509</f>
        <v>#DIV/0!</v>
      </c>
    </row>
    <row r="510" spans="1:9" ht="12.75" customHeight="1">
      <c r="A510" s="48" t="s">
        <v>251</v>
      </c>
      <c r="B510" s="22">
        <v>2004</v>
      </c>
      <c r="C510" s="55" t="s">
        <v>467</v>
      </c>
      <c r="D510" s="10" t="s">
        <v>354</v>
      </c>
      <c r="E510" s="254"/>
      <c r="F510" s="353"/>
      <c r="G510" s="100"/>
      <c r="H510" s="355">
        <f>211.761</f>
        <v>211.761</v>
      </c>
      <c r="I510" s="350" t="e">
        <f>$H510/$F510</f>
        <v>#DIV/0!</v>
      </c>
    </row>
    <row r="511" spans="1:9" ht="3" customHeight="1">
      <c r="A511" s="217"/>
      <c r="B511" s="166"/>
      <c r="C511" s="185"/>
      <c r="D511" s="165"/>
      <c r="E511" s="165"/>
      <c r="F511" s="198"/>
      <c r="G511" s="173"/>
      <c r="H511" s="207"/>
      <c r="I511" s="198"/>
    </row>
    <row r="512" spans="1:9" ht="12.75" customHeight="1">
      <c r="A512" s="48" t="s">
        <v>251</v>
      </c>
      <c r="B512" s="22">
        <v>2004</v>
      </c>
      <c r="C512" s="55" t="s">
        <v>720</v>
      </c>
      <c r="D512" s="75" t="s">
        <v>373</v>
      </c>
      <c r="E512" s="252"/>
      <c r="F512" s="366">
        <v>0</v>
      </c>
      <c r="G512" s="83"/>
      <c r="H512" s="362" t="s">
        <v>71</v>
      </c>
      <c r="I512" s="364" t="s">
        <v>71</v>
      </c>
    </row>
    <row r="513" spans="1:9" ht="12.75" customHeight="1">
      <c r="A513" s="48" t="s">
        <v>251</v>
      </c>
      <c r="B513" s="22">
        <v>2004</v>
      </c>
      <c r="C513" s="55" t="s">
        <v>479</v>
      </c>
      <c r="D513" s="75" t="s">
        <v>374</v>
      </c>
      <c r="E513" s="253"/>
      <c r="F513" s="366"/>
      <c r="G513" s="83"/>
      <c r="H513" s="363"/>
      <c r="I513" s="365"/>
    </row>
    <row r="514" spans="1:9" ht="12.75" customHeight="1">
      <c r="A514" s="48" t="s">
        <v>251</v>
      </c>
      <c r="B514" s="22">
        <v>2004</v>
      </c>
      <c r="C514" s="55" t="s">
        <v>15</v>
      </c>
      <c r="D514" s="75" t="s">
        <v>312</v>
      </c>
      <c r="E514" s="253"/>
      <c r="F514" s="366"/>
      <c r="G514" s="83" t="s">
        <v>10</v>
      </c>
      <c r="H514" s="363"/>
      <c r="I514" s="365"/>
    </row>
    <row r="515" spans="1:9" ht="12.75" customHeight="1">
      <c r="A515" s="48" t="s">
        <v>251</v>
      </c>
      <c r="B515" s="22">
        <v>2004</v>
      </c>
      <c r="C515" s="55" t="s">
        <v>467</v>
      </c>
      <c r="D515" s="75" t="s">
        <v>319</v>
      </c>
      <c r="E515" s="253"/>
      <c r="F515" s="366"/>
      <c r="G515" s="83"/>
      <c r="H515" s="363"/>
      <c r="I515" s="365"/>
    </row>
    <row r="516" spans="1:9" ht="12.75" customHeight="1">
      <c r="A516" s="48" t="s">
        <v>251</v>
      </c>
      <c r="B516" s="22">
        <v>2004</v>
      </c>
      <c r="C516" s="55" t="s">
        <v>467</v>
      </c>
      <c r="D516" s="75" t="s">
        <v>356</v>
      </c>
      <c r="E516" s="254"/>
      <c r="F516" s="366"/>
      <c r="G516" s="83"/>
      <c r="H516" s="363"/>
      <c r="I516" s="365"/>
    </row>
    <row r="517" spans="1:9" ht="3" customHeight="1">
      <c r="A517" s="217"/>
      <c r="B517" s="166"/>
      <c r="C517" s="185"/>
      <c r="D517" s="165"/>
      <c r="E517" s="165"/>
      <c r="F517" s="198"/>
      <c r="G517" s="173"/>
      <c r="H517" s="207"/>
      <c r="I517" s="198"/>
    </row>
    <row r="518" spans="1:9" ht="12.75" customHeight="1">
      <c r="A518" s="48" t="s">
        <v>251</v>
      </c>
      <c r="B518" s="22">
        <v>2004</v>
      </c>
      <c r="C518" s="48"/>
      <c r="D518" s="8" t="s">
        <v>482</v>
      </c>
      <c r="E518" s="8"/>
      <c r="F518" s="47">
        <v>9</v>
      </c>
      <c r="G518" s="79"/>
      <c r="H518" s="135">
        <f>3832/0.80537</f>
        <v>4758.061512100028</v>
      </c>
      <c r="I518" s="29">
        <f>$H518/$F518</f>
        <v>528.6735013444476</v>
      </c>
    </row>
    <row r="519" spans="1:5" ht="12.75" customHeight="1">
      <c r="A519" s="50"/>
      <c r="C519" s="37"/>
      <c r="D519" s="34"/>
      <c r="E519" s="10"/>
    </row>
    <row r="520" spans="1:9" ht="12.75" customHeight="1">
      <c r="A520" s="25" t="s">
        <v>13</v>
      </c>
      <c r="B520" s="22">
        <v>2003</v>
      </c>
      <c r="C520" s="55" t="s">
        <v>720</v>
      </c>
      <c r="D520" s="75" t="s">
        <v>373</v>
      </c>
      <c r="E520" s="252"/>
      <c r="F520" s="366">
        <v>4</v>
      </c>
      <c r="G520" s="83"/>
      <c r="H520" s="348">
        <v>2462</v>
      </c>
      <c r="I520" s="344">
        <f>$H520/$F520</f>
        <v>615.5</v>
      </c>
    </row>
    <row r="521" spans="1:9" ht="12.75" customHeight="1">
      <c r="A521" s="25" t="s">
        <v>13</v>
      </c>
      <c r="B521" s="22">
        <v>2003</v>
      </c>
      <c r="C521" s="55" t="s">
        <v>479</v>
      </c>
      <c r="D521" s="75" t="s">
        <v>374</v>
      </c>
      <c r="E521" s="253"/>
      <c r="F521" s="366"/>
      <c r="G521" s="83"/>
      <c r="H521" s="348"/>
      <c r="I521" s="344" t="e">
        <f>$H521/$F521</f>
        <v>#DIV/0!</v>
      </c>
    </row>
    <row r="522" spans="1:9" ht="12.75" customHeight="1">
      <c r="A522" s="25" t="s">
        <v>13</v>
      </c>
      <c r="B522" s="22">
        <v>2003</v>
      </c>
      <c r="C522" s="55" t="s">
        <v>15</v>
      </c>
      <c r="D522" s="75" t="s">
        <v>312</v>
      </c>
      <c r="E522" s="253"/>
      <c r="F522" s="366"/>
      <c r="G522" s="83"/>
      <c r="H522" s="348"/>
      <c r="I522" s="344" t="e">
        <f>$H522/$F522</f>
        <v>#DIV/0!</v>
      </c>
    </row>
    <row r="523" spans="1:9" ht="12.75" customHeight="1">
      <c r="A523" s="25" t="s">
        <v>13</v>
      </c>
      <c r="B523" s="22">
        <v>2003</v>
      </c>
      <c r="C523" s="55" t="s">
        <v>467</v>
      </c>
      <c r="D523" s="75" t="s">
        <v>319</v>
      </c>
      <c r="E523" s="253"/>
      <c r="F523" s="366"/>
      <c r="G523" s="83"/>
      <c r="H523" s="348"/>
      <c r="I523" s="344" t="e">
        <f>$H523/$F523</f>
        <v>#DIV/0!</v>
      </c>
    </row>
    <row r="524" spans="1:9" ht="12.75" customHeight="1">
      <c r="A524" s="25" t="s">
        <v>13</v>
      </c>
      <c r="B524" s="22">
        <v>2003</v>
      </c>
      <c r="C524" s="55" t="s">
        <v>467</v>
      </c>
      <c r="D524" s="75" t="s">
        <v>356</v>
      </c>
      <c r="E524" s="254"/>
      <c r="F524" s="366"/>
      <c r="G524" s="83"/>
      <c r="H524" s="348"/>
      <c r="I524" s="344" t="e">
        <f>$H524/$F524</f>
        <v>#DIV/0!</v>
      </c>
    </row>
    <row r="525" spans="1:9" ht="3" customHeight="1">
      <c r="A525" s="180"/>
      <c r="B525" s="166"/>
      <c r="C525" s="185"/>
      <c r="D525" s="180"/>
      <c r="E525" s="180"/>
      <c r="F525" s="211"/>
      <c r="G525" s="196"/>
      <c r="H525" s="207"/>
      <c r="I525" s="189"/>
    </row>
    <row r="526" spans="1:9" ht="12.75" customHeight="1">
      <c r="A526" s="25" t="s">
        <v>13</v>
      </c>
      <c r="B526" s="22">
        <v>2003</v>
      </c>
      <c r="C526" s="55"/>
      <c r="D526" s="75" t="s">
        <v>482</v>
      </c>
      <c r="E526" s="75"/>
      <c r="F526" s="76">
        <v>0</v>
      </c>
      <c r="G526" s="83" t="s">
        <v>10</v>
      </c>
      <c r="H526" s="134">
        <v>210</v>
      </c>
      <c r="I526" s="70" t="s">
        <v>71</v>
      </c>
    </row>
    <row r="527" spans="1:9" ht="12.75" customHeight="1">
      <c r="A527" s="25"/>
      <c r="B527" s="22"/>
      <c r="C527" s="55"/>
      <c r="D527" s="75"/>
      <c r="E527" s="75"/>
      <c r="F527" s="76"/>
      <c r="G527" s="83"/>
      <c r="H527" s="124"/>
      <c r="I527" s="29"/>
    </row>
    <row r="528" spans="1:9" ht="12.75" customHeight="1">
      <c r="A528" s="25" t="s">
        <v>13</v>
      </c>
      <c r="B528" s="22">
        <v>2004</v>
      </c>
      <c r="C528" s="55" t="s">
        <v>720</v>
      </c>
      <c r="D528" s="75" t="s">
        <v>373</v>
      </c>
      <c r="E528" s="252"/>
      <c r="F528" s="352">
        <v>3.005</v>
      </c>
      <c r="G528" s="83"/>
      <c r="H528" s="348">
        <f>1928+17</f>
        <v>1945</v>
      </c>
      <c r="I528" s="344">
        <f aca="true" t="shared" si="22" ref="I528:I534">$H528/$F528</f>
        <v>647.2545757071548</v>
      </c>
    </row>
    <row r="529" spans="1:9" ht="12.75" customHeight="1">
      <c r="A529" s="25" t="s">
        <v>13</v>
      </c>
      <c r="B529" s="22">
        <v>2004</v>
      </c>
      <c r="C529" s="55" t="s">
        <v>479</v>
      </c>
      <c r="D529" s="75" t="s">
        <v>374</v>
      </c>
      <c r="E529" s="253"/>
      <c r="F529" s="352"/>
      <c r="G529" s="83"/>
      <c r="H529" s="348"/>
      <c r="I529" s="344" t="e">
        <f t="shared" si="22"/>
        <v>#DIV/0!</v>
      </c>
    </row>
    <row r="530" spans="1:9" ht="12.75" customHeight="1">
      <c r="A530" s="25" t="s">
        <v>13</v>
      </c>
      <c r="B530" s="22">
        <v>2004</v>
      </c>
      <c r="C530" s="55" t="s">
        <v>15</v>
      </c>
      <c r="D530" s="75" t="s">
        <v>312</v>
      </c>
      <c r="E530" s="253"/>
      <c r="F530" s="352"/>
      <c r="G530" s="83"/>
      <c r="H530" s="348"/>
      <c r="I530" s="344" t="e">
        <f t="shared" si="22"/>
        <v>#DIV/0!</v>
      </c>
    </row>
    <row r="531" spans="1:9" ht="12.75" customHeight="1">
      <c r="A531" s="25" t="s">
        <v>13</v>
      </c>
      <c r="B531" s="22">
        <v>2004</v>
      </c>
      <c r="C531" s="55" t="s">
        <v>467</v>
      </c>
      <c r="D531" s="75" t="s">
        <v>319</v>
      </c>
      <c r="E531" s="253"/>
      <c r="F531" s="352"/>
      <c r="G531" s="83"/>
      <c r="H531" s="348"/>
      <c r="I531" s="344" t="e">
        <f t="shared" si="22"/>
        <v>#DIV/0!</v>
      </c>
    </row>
    <row r="532" spans="1:9" ht="12.75" customHeight="1">
      <c r="A532" s="25" t="s">
        <v>13</v>
      </c>
      <c r="B532" s="22">
        <v>2004</v>
      </c>
      <c r="C532" s="55" t="s">
        <v>467</v>
      </c>
      <c r="D532" s="75" t="s">
        <v>356</v>
      </c>
      <c r="E532" s="254"/>
      <c r="F532" s="352"/>
      <c r="G532" s="83"/>
      <c r="H532" s="348"/>
      <c r="I532" s="344" t="e">
        <f t="shared" si="22"/>
        <v>#DIV/0!</v>
      </c>
    </row>
    <row r="533" spans="1:9" ht="3" customHeight="1">
      <c r="A533" s="180"/>
      <c r="B533" s="166"/>
      <c r="C533" s="185"/>
      <c r="D533" s="180"/>
      <c r="E533" s="180"/>
      <c r="F533" s="198"/>
      <c r="G533" s="196"/>
      <c r="H533" s="207"/>
      <c r="I533" s="189"/>
    </row>
    <row r="534" spans="1:9" ht="12.75" customHeight="1">
      <c r="A534" s="25" t="s">
        <v>13</v>
      </c>
      <c r="B534" s="22">
        <v>2004</v>
      </c>
      <c r="C534" s="55"/>
      <c r="D534" s="75" t="s">
        <v>482</v>
      </c>
      <c r="E534" s="75"/>
      <c r="F534" s="148">
        <v>2</v>
      </c>
      <c r="G534" s="83"/>
      <c r="H534" s="134">
        <v>4022</v>
      </c>
      <c r="I534" s="70">
        <f t="shared" si="22"/>
        <v>2011</v>
      </c>
    </row>
    <row r="535" spans="1:9" ht="12.75" customHeight="1">
      <c r="A535" s="25"/>
      <c r="B535" s="22"/>
      <c r="C535" s="55"/>
      <c r="D535" s="75"/>
      <c r="E535" s="75"/>
      <c r="F535" s="76"/>
      <c r="G535" s="83"/>
      <c r="H535" s="124"/>
      <c r="I535" s="29"/>
    </row>
    <row r="536" spans="1:9" ht="12.75" customHeight="1">
      <c r="A536" s="25" t="s">
        <v>256</v>
      </c>
      <c r="B536" s="22">
        <v>2003</v>
      </c>
      <c r="C536" s="25" t="s">
        <v>261</v>
      </c>
      <c r="D536" s="1" t="s">
        <v>42</v>
      </c>
      <c r="E536" s="25"/>
      <c r="F536" s="47">
        <v>0.008</v>
      </c>
      <c r="G536" s="83" t="s">
        <v>10</v>
      </c>
      <c r="H536" s="124">
        <f>50.265/0.5823</f>
        <v>86.32148377125193</v>
      </c>
      <c r="I536" s="70">
        <f>$H536/$F536</f>
        <v>10790.185471406492</v>
      </c>
    </row>
    <row r="537" spans="1:9" ht="12.75" customHeight="1">
      <c r="A537" s="25" t="s">
        <v>256</v>
      </c>
      <c r="B537" s="22">
        <v>2003</v>
      </c>
      <c r="C537" s="25" t="s">
        <v>691</v>
      </c>
      <c r="D537" s="25"/>
      <c r="E537" s="25"/>
      <c r="F537" s="47">
        <v>0.006</v>
      </c>
      <c r="G537" s="83" t="s">
        <v>10</v>
      </c>
      <c r="H537" s="124">
        <f>1.756/0.5823</f>
        <v>3.0156276833247464</v>
      </c>
      <c r="I537" s="70">
        <f>$H537/$F537</f>
        <v>502.60461388745773</v>
      </c>
    </row>
    <row r="538" spans="1:9" ht="12.75" customHeight="1">
      <c r="A538" s="25" t="s">
        <v>256</v>
      </c>
      <c r="B538" s="22">
        <v>2003</v>
      </c>
      <c r="C538" s="25" t="s">
        <v>263</v>
      </c>
      <c r="D538" s="25"/>
      <c r="E538" s="25"/>
      <c r="F538" s="47">
        <v>0.005</v>
      </c>
      <c r="G538" s="83" t="s">
        <v>10</v>
      </c>
      <c r="H538" s="124">
        <f>1.674/0.5823</f>
        <v>2.874806800618238</v>
      </c>
      <c r="I538" s="70">
        <f>$H538/$F538</f>
        <v>574.9613601236475</v>
      </c>
    </row>
    <row r="539" spans="1:9" ht="12.75" customHeight="1">
      <c r="A539" s="25" t="s">
        <v>256</v>
      </c>
      <c r="B539" s="22">
        <v>2003</v>
      </c>
      <c r="C539" s="25" t="s">
        <v>258</v>
      </c>
      <c r="D539" s="25"/>
      <c r="E539" s="25"/>
      <c r="F539" s="47">
        <v>0.004</v>
      </c>
      <c r="G539" s="83" t="s">
        <v>10</v>
      </c>
      <c r="H539" s="124">
        <f>3.646/0.5823</f>
        <v>6.261377296925983</v>
      </c>
      <c r="I539" s="70">
        <f>$H539/$F539</f>
        <v>1565.3443242314956</v>
      </c>
    </row>
    <row r="540" spans="1:9" ht="12.75" customHeight="1">
      <c r="A540" s="25" t="s">
        <v>256</v>
      </c>
      <c r="B540" s="22">
        <v>2003</v>
      </c>
      <c r="C540" s="25" t="s">
        <v>260</v>
      </c>
      <c r="D540" s="25"/>
      <c r="E540" s="25"/>
      <c r="F540" s="47">
        <v>0.002</v>
      </c>
      <c r="G540" s="83" t="s">
        <v>10</v>
      </c>
      <c r="H540" s="124">
        <f>12.079/0.5823</f>
        <v>20.74360295380388</v>
      </c>
      <c r="I540" s="70">
        <f>$H540/$F540</f>
        <v>10371.80147690194</v>
      </c>
    </row>
    <row r="541" spans="1:9" ht="12.75" customHeight="1">
      <c r="A541" s="25"/>
      <c r="B541" s="22"/>
      <c r="C541" s="55"/>
      <c r="D541" s="75"/>
      <c r="E541" s="75"/>
      <c r="F541" s="148"/>
      <c r="G541" s="83"/>
      <c r="H541" s="124"/>
      <c r="I541" s="29"/>
    </row>
    <row r="542" spans="1:9" ht="12.75" customHeight="1">
      <c r="A542" s="25" t="s">
        <v>256</v>
      </c>
      <c r="B542" s="22">
        <v>2004</v>
      </c>
      <c r="C542" s="25" t="s">
        <v>689</v>
      </c>
      <c r="D542" s="1" t="s">
        <v>42</v>
      </c>
      <c r="E542" s="25"/>
      <c r="F542" s="47">
        <v>0.075</v>
      </c>
      <c r="G542" s="83" t="s">
        <v>10</v>
      </c>
      <c r="H542" s="124">
        <f>11.925/0.664</f>
        <v>17.95933734939759</v>
      </c>
      <c r="I542" s="70">
        <f aca="true" t="shared" si="23" ref="I542:I547">$H542/$F542</f>
        <v>239.4578313253012</v>
      </c>
    </row>
    <row r="543" spans="1:9" ht="12.75" customHeight="1">
      <c r="A543" s="25" t="s">
        <v>256</v>
      </c>
      <c r="B543" s="22">
        <v>2004</v>
      </c>
      <c r="C543" s="25" t="s">
        <v>694</v>
      </c>
      <c r="D543" s="25"/>
      <c r="E543" s="25"/>
      <c r="F543" s="47">
        <v>0.029</v>
      </c>
      <c r="G543" s="83" t="s">
        <v>10</v>
      </c>
      <c r="H543" s="124">
        <f>22.145/0.664</f>
        <v>33.35090361445783</v>
      </c>
      <c r="I543" s="70">
        <f t="shared" si="23"/>
        <v>1150.0311591192353</v>
      </c>
    </row>
    <row r="544" spans="1:9" ht="12.75" customHeight="1">
      <c r="A544" s="25" t="s">
        <v>256</v>
      </c>
      <c r="B544" s="22">
        <v>2004</v>
      </c>
      <c r="C544" s="25" t="s">
        <v>260</v>
      </c>
      <c r="D544" s="25"/>
      <c r="E544" s="25"/>
      <c r="F544" s="47">
        <v>0.018</v>
      </c>
      <c r="G544" s="83" t="s">
        <v>10</v>
      </c>
      <c r="H544" s="124">
        <f>43.759/0.664</f>
        <v>65.90210843373494</v>
      </c>
      <c r="I544" s="70">
        <f t="shared" si="23"/>
        <v>3661.228246318608</v>
      </c>
    </row>
    <row r="545" spans="1:9" ht="12.75" customHeight="1">
      <c r="A545" s="25" t="s">
        <v>256</v>
      </c>
      <c r="B545" s="22">
        <v>2004</v>
      </c>
      <c r="C545" s="25" t="s">
        <v>263</v>
      </c>
      <c r="D545" s="25"/>
      <c r="E545" s="25"/>
      <c r="F545" s="47">
        <v>0.011</v>
      </c>
      <c r="G545" s="83" t="s">
        <v>10</v>
      </c>
      <c r="H545" s="124">
        <f>5.407/0.664</f>
        <v>8.143072289156626</v>
      </c>
      <c r="I545" s="70">
        <f t="shared" si="23"/>
        <v>740.2792990142387</v>
      </c>
    </row>
    <row r="546" spans="1:9" ht="12.75" customHeight="1">
      <c r="A546" s="25" t="s">
        <v>256</v>
      </c>
      <c r="B546" s="22">
        <v>2004</v>
      </c>
      <c r="C546" s="25" t="s">
        <v>265</v>
      </c>
      <c r="D546" s="25"/>
      <c r="E546" s="25"/>
      <c r="F546" s="47">
        <v>0.006</v>
      </c>
      <c r="G546" s="83" t="s">
        <v>10</v>
      </c>
      <c r="H546" s="124">
        <f>19.178/0.664</f>
        <v>28.882530120481928</v>
      </c>
      <c r="I546" s="70">
        <f t="shared" si="23"/>
        <v>4813.755020080321</v>
      </c>
    </row>
    <row r="547" spans="1:9" ht="12.75" customHeight="1">
      <c r="A547" s="25" t="s">
        <v>256</v>
      </c>
      <c r="B547" s="22">
        <v>2004</v>
      </c>
      <c r="C547" s="25" t="s">
        <v>695</v>
      </c>
      <c r="D547" s="25"/>
      <c r="E547" s="25"/>
      <c r="F547" s="47">
        <v>0.005</v>
      </c>
      <c r="G547" s="83" t="s">
        <v>10</v>
      </c>
      <c r="H547" s="124">
        <f>3.806/0.664</f>
        <v>5.731927710843373</v>
      </c>
      <c r="I547" s="70">
        <f t="shared" si="23"/>
        <v>1146.3855421686746</v>
      </c>
    </row>
    <row r="548" spans="1:9" ht="12.75" customHeight="1">
      <c r="A548" s="25"/>
      <c r="B548" s="22"/>
      <c r="C548" s="55"/>
      <c r="D548" s="75"/>
      <c r="E548" s="75"/>
      <c r="F548" s="76"/>
      <c r="G548" s="83"/>
      <c r="H548" s="124"/>
      <c r="I548" s="29"/>
    </row>
    <row r="549" spans="1:9" ht="12.75" customHeight="1">
      <c r="A549" s="25" t="s">
        <v>55</v>
      </c>
      <c r="B549" s="22">
        <v>2003</v>
      </c>
      <c r="C549" s="22" t="s">
        <v>60</v>
      </c>
      <c r="D549" s="25" t="s">
        <v>42</v>
      </c>
      <c r="E549" s="25"/>
      <c r="F549" s="19">
        <v>0.116</v>
      </c>
      <c r="G549" s="83" t="s">
        <v>10</v>
      </c>
      <c r="H549" s="120">
        <f>2284/7.0802</f>
        <v>322.58975735148726</v>
      </c>
      <c r="I549" s="47">
        <f>$H549/$F549</f>
        <v>2780.9461840645454</v>
      </c>
    </row>
    <row r="550" spans="1:9" ht="12.75" customHeight="1">
      <c r="A550" s="25" t="s">
        <v>55</v>
      </c>
      <c r="B550" s="22">
        <v>2003</v>
      </c>
      <c r="C550" s="22" t="s">
        <v>58</v>
      </c>
      <c r="D550" s="25"/>
      <c r="E550" s="25"/>
      <c r="F550" s="19">
        <v>0.056</v>
      </c>
      <c r="G550" s="83" t="s">
        <v>10</v>
      </c>
      <c r="H550" s="120">
        <f>92/7.0802</f>
        <v>12.993983220812972</v>
      </c>
      <c r="I550" s="47">
        <f>$H550/$F550</f>
        <v>232.03541465737447</v>
      </c>
    </row>
    <row r="551" spans="1:9" ht="12.75" customHeight="1">
      <c r="A551" s="25" t="s">
        <v>55</v>
      </c>
      <c r="B551" s="22">
        <v>2003</v>
      </c>
      <c r="C551" s="22" t="s">
        <v>59</v>
      </c>
      <c r="D551" s="25"/>
      <c r="E551" s="25"/>
      <c r="F551" s="19">
        <v>0.105</v>
      </c>
      <c r="G551" s="83" t="s">
        <v>10</v>
      </c>
      <c r="H551" s="120">
        <f>130/7.0802</f>
        <v>18.36106324680094</v>
      </c>
      <c r="I551" s="47">
        <f>$H551/$F551</f>
        <v>174.8672690171518</v>
      </c>
    </row>
    <row r="552" spans="1:9" ht="12.75" customHeight="1">
      <c r="A552" s="25"/>
      <c r="B552" s="22"/>
      <c r="C552" s="25"/>
      <c r="D552" s="25"/>
      <c r="E552" s="25"/>
      <c r="F552" s="19"/>
      <c r="G552" s="83"/>
      <c r="H552" s="120"/>
      <c r="I552" s="19"/>
    </row>
    <row r="553" spans="1:9" ht="12.75" customHeight="1">
      <c r="A553" s="25" t="s">
        <v>55</v>
      </c>
      <c r="B553" s="22">
        <v>2004</v>
      </c>
      <c r="C553" s="22" t="s">
        <v>60</v>
      </c>
      <c r="D553" s="25" t="s">
        <v>42</v>
      </c>
      <c r="E553" s="25"/>
      <c r="F553" s="19">
        <v>0.15</v>
      </c>
      <c r="G553" s="83" t="s">
        <v>10</v>
      </c>
      <c r="H553" s="120">
        <f>1580/6.7408</f>
        <v>234.3935437930216</v>
      </c>
      <c r="I553" s="47">
        <f>$H553/$F553</f>
        <v>1562.6236252868107</v>
      </c>
    </row>
    <row r="554" spans="1:9" ht="12.75" customHeight="1">
      <c r="A554" s="25" t="s">
        <v>55</v>
      </c>
      <c r="B554" s="22">
        <v>2004</v>
      </c>
      <c r="C554" s="22" t="s">
        <v>58</v>
      </c>
      <c r="D554" s="25"/>
      <c r="E554" s="25"/>
      <c r="F554" s="19">
        <v>0.008</v>
      </c>
      <c r="G554" s="83" t="s">
        <v>10</v>
      </c>
      <c r="H554" s="120">
        <f>34/6.7408</f>
        <v>5.043911701875148</v>
      </c>
      <c r="I554" s="47">
        <f>$H554/$F554</f>
        <v>630.4889627343935</v>
      </c>
    </row>
    <row r="555" spans="1:9" ht="12.75" customHeight="1">
      <c r="A555" s="25" t="s">
        <v>55</v>
      </c>
      <c r="B555" s="22">
        <v>2004</v>
      </c>
      <c r="C555" s="22" t="s">
        <v>59</v>
      </c>
      <c r="D555" s="25"/>
      <c r="E555" s="25"/>
      <c r="F555" s="19">
        <v>0.002</v>
      </c>
      <c r="G555" s="83" t="s">
        <v>10</v>
      </c>
      <c r="H555" s="120">
        <f>13/6.7408</f>
        <v>1.9285544742463803</v>
      </c>
      <c r="I555" s="47">
        <f>$H555/$F555</f>
        <v>964.2772371231902</v>
      </c>
    </row>
    <row r="556" spans="6:9" ht="12.75" customHeight="1">
      <c r="F556" s="66"/>
      <c r="G556" s="94"/>
      <c r="I556" s="61"/>
    </row>
    <row r="557" spans="1:9" ht="12.75" customHeight="1">
      <c r="A557" s="1" t="s">
        <v>77</v>
      </c>
      <c r="B557" s="5">
        <v>2003</v>
      </c>
      <c r="C557" s="5" t="s">
        <v>227</v>
      </c>
      <c r="D557" s="24" t="s">
        <v>42</v>
      </c>
      <c r="E557" s="1"/>
      <c r="F557" s="14">
        <v>0</v>
      </c>
      <c r="G557" s="94" t="s">
        <v>10</v>
      </c>
      <c r="H557" s="138">
        <v>2</v>
      </c>
      <c r="I557" s="59" t="s">
        <v>71</v>
      </c>
    </row>
    <row r="558" spans="1:9" ht="12.75" customHeight="1">
      <c r="A558" s="1" t="s">
        <v>77</v>
      </c>
      <c r="B558" s="5">
        <v>2003</v>
      </c>
      <c r="C558" s="5" t="s">
        <v>625</v>
      </c>
      <c r="D558" s="1"/>
      <c r="E558" s="1"/>
      <c r="F558" s="14">
        <v>0</v>
      </c>
      <c r="G558" s="94" t="s">
        <v>10</v>
      </c>
      <c r="H558" s="139">
        <v>30</v>
      </c>
      <c r="I558" s="59" t="s">
        <v>71</v>
      </c>
    </row>
    <row r="559" spans="1:9" ht="12.75" customHeight="1">
      <c r="A559" s="1" t="s">
        <v>77</v>
      </c>
      <c r="B559" s="5">
        <v>2003</v>
      </c>
      <c r="D559" s="11" t="s">
        <v>482</v>
      </c>
      <c r="F559" s="35">
        <v>2</v>
      </c>
      <c r="G559" s="94"/>
      <c r="H559" s="139">
        <v>662</v>
      </c>
      <c r="I559" s="14">
        <f>$H559/$F559</f>
        <v>331</v>
      </c>
    </row>
    <row r="560" ht="12.75" customHeight="1"/>
    <row r="561" spans="1:9" ht="12.75" customHeight="1">
      <c r="A561" s="1" t="s">
        <v>77</v>
      </c>
      <c r="B561" s="5">
        <v>2004</v>
      </c>
      <c r="C561" s="5" t="s">
        <v>219</v>
      </c>
      <c r="D561" s="24" t="s">
        <v>42</v>
      </c>
      <c r="E561" s="1"/>
      <c r="F561" s="14">
        <v>0</v>
      </c>
      <c r="G561" s="86" t="s">
        <v>10</v>
      </c>
      <c r="H561" s="138">
        <v>3</v>
      </c>
      <c r="I561" s="59" t="s">
        <v>71</v>
      </c>
    </row>
    <row r="562" spans="1:9" ht="12.75" customHeight="1">
      <c r="A562" s="1" t="s">
        <v>77</v>
      </c>
      <c r="B562" s="5">
        <v>2004</v>
      </c>
      <c r="C562" s="5" t="s">
        <v>227</v>
      </c>
      <c r="D562" s="1"/>
      <c r="E562" s="1"/>
      <c r="F562" s="14">
        <v>0</v>
      </c>
      <c r="G562" s="94" t="s">
        <v>10</v>
      </c>
      <c r="H562" s="139">
        <v>148</v>
      </c>
      <c r="I562" s="59" t="s">
        <v>71</v>
      </c>
    </row>
    <row r="563" spans="1:9" ht="12.75" customHeight="1">
      <c r="A563" s="1" t="s">
        <v>77</v>
      </c>
      <c r="B563" s="5">
        <v>2004</v>
      </c>
      <c r="C563" s="1" t="s">
        <v>623</v>
      </c>
      <c r="D563" s="1"/>
      <c r="E563" s="1"/>
      <c r="F563" s="14">
        <v>0</v>
      </c>
      <c r="G563" s="94" t="s">
        <v>10</v>
      </c>
      <c r="H563" s="139">
        <v>3</v>
      </c>
      <c r="I563" s="59" t="s">
        <v>71</v>
      </c>
    </row>
    <row r="564" spans="1:9" ht="12.75" customHeight="1">
      <c r="A564" s="1" t="s">
        <v>77</v>
      </c>
      <c r="B564" s="5">
        <v>2004</v>
      </c>
      <c r="C564" s="1" t="s">
        <v>619</v>
      </c>
      <c r="D564" s="1"/>
      <c r="E564" s="1"/>
      <c r="F564" s="14">
        <v>0</v>
      </c>
      <c r="G564" s="94" t="s">
        <v>10</v>
      </c>
      <c r="H564" s="139">
        <v>82</v>
      </c>
      <c r="I564" s="59" t="s">
        <v>71</v>
      </c>
    </row>
    <row r="565" spans="1:9" ht="12.75" customHeight="1">
      <c r="A565" s="1" t="s">
        <v>77</v>
      </c>
      <c r="B565" s="5">
        <v>2004</v>
      </c>
      <c r="C565" s="1"/>
      <c r="D565" s="1" t="s">
        <v>482</v>
      </c>
      <c r="E565" s="1"/>
      <c r="F565" s="14">
        <v>3</v>
      </c>
      <c r="H565" s="138">
        <v>1164</v>
      </c>
      <c r="I565" s="14">
        <f>$H565/$F565</f>
        <v>388</v>
      </c>
    </row>
    <row r="566" spans="3:6" ht="12.75" customHeight="1">
      <c r="C566" s="1"/>
      <c r="D566" s="1"/>
      <c r="E566" s="1"/>
      <c r="F566" s="14"/>
    </row>
    <row r="567" ht="3" customHeight="1"/>
    <row r="568" spans="1:9" ht="12.75" customHeight="1">
      <c r="A568" s="1" t="s">
        <v>165</v>
      </c>
      <c r="B568" s="5">
        <v>2003</v>
      </c>
      <c r="C568" s="1" t="s">
        <v>249</v>
      </c>
      <c r="D568" s="1" t="s">
        <v>42</v>
      </c>
      <c r="E568" s="1"/>
      <c r="F568" s="14">
        <v>18.127</v>
      </c>
      <c r="H568" s="138">
        <f>7990.372</f>
        <v>7990.372</v>
      </c>
      <c r="I568" s="14">
        <f>$H568/$F568</f>
        <v>440.7994704032659</v>
      </c>
    </row>
    <row r="569" spans="1:9" ht="12.75" customHeight="1">
      <c r="A569" s="1" t="s">
        <v>165</v>
      </c>
      <c r="B569" s="5">
        <v>2003</v>
      </c>
      <c r="C569" s="1" t="s">
        <v>227</v>
      </c>
      <c r="D569" s="1"/>
      <c r="E569" s="1"/>
      <c r="F569" s="14">
        <v>9.124</v>
      </c>
      <c r="H569" s="138">
        <f>3016.394</f>
        <v>3016.394</v>
      </c>
      <c r="I569" s="14">
        <f>$H569/$F569</f>
        <v>330.5999561595791</v>
      </c>
    </row>
    <row r="570" spans="1:9" ht="12.75" customHeight="1">
      <c r="A570" s="1" t="s">
        <v>165</v>
      </c>
      <c r="B570" s="5">
        <v>2003</v>
      </c>
      <c r="C570" s="1" t="s">
        <v>250</v>
      </c>
      <c r="D570" s="1"/>
      <c r="E570" s="1"/>
      <c r="F570" s="14">
        <v>3.151</v>
      </c>
      <c r="H570" s="138">
        <f>1856.256</f>
        <v>1856.256</v>
      </c>
      <c r="I570" s="14">
        <f>$H570/$F570</f>
        <v>589.10060298318</v>
      </c>
    </row>
    <row r="571" spans="1:9" ht="12.75" customHeight="1">
      <c r="A571" s="1" t="s">
        <v>165</v>
      </c>
      <c r="B571" s="5">
        <v>2003</v>
      </c>
      <c r="C571" s="1" t="s">
        <v>219</v>
      </c>
      <c r="D571" s="1"/>
      <c r="E571" s="1"/>
      <c r="F571" s="14">
        <v>0.701</v>
      </c>
      <c r="H571" s="138">
        <f>294.467</f>
        <v>294.467</v>
      </c>
      <c r="I571" s="14">
        <f>$H571/$F571</f>
        <v>420.0670470756063</v>
      </c>
    </row>
    <row r="572" ht="12.75" customHeight="1"/>
    <row r="573" spans="1:9" ht="12.75" customHeight="1">
      <c r="A573" s="1" t="s">
        <v>165</v>
      </c>
      <c r="B573" s="5">
        <v>2004</v>
      </c>
      <c r="C573" s="1" t="s">
        <v>249</v>
      </c>
      <c r="D573" s="1" t="s">
        <v>42</v>
      </c>
      <c r="E573" s="1"/>
      <c r="F573" s="14">
        <v>18.478</v>
      </c>
      <c r="H573" s="138">
        <v>9072.654</v>
      </c>
      <c r="I573" s="14">
        <f>$H573/$F573</f>
        <v>490.99761878991234</v>
      </c>
    </row>
    <row r="574" spans="1:9" ht="12.75" customHeight="1">
      <c r="A574" s="1" t="s">
        <v>165</v>
      </c>
      <c r="B574" s="5">
        <v>2004</v>
      </c>
      <c r="C574" s="1" t="s">
        <v>227</v>
      </c>
      <c r="D574" s="1"/>
      <c r="E574" s="1"/>
      <c r="F574" s="14">
        <v>8.099</v>
      </c>
      <c r="H574" s="138">
        <v>2817.044</v>
      </c>
      <c r="I574" s="14">
        <f>$H574/$F574</f>
        <v>347.82615137671314</v>
      </c>
    </row>
    <row r="575" spans="1:9" ht="12.75" customHeight="1">
      <c r="A575" s="1" t="s">
        <v>165</v>
      </c>
      <c r="B575" s="5">
        <v>2004</v>
      </c>
      <c r="C575" s="1" t="s">
        <v>250</v>
      </c>
      <c r="D575" s="1"/>
      <c r="E575" s="1"/>
      <c r="F575" s="14">
        <v>3.876</v>
      </c>
      <c r="H575" s="138">
        <v>1919.674</v>
      </c>
      <c r="I575" s="14">
        <f>$H575/$F575</f>
        <v>495.2719298245614</v>
      </c>
    </row>
    <row r="576" spans="1:9" ht="12.75" customHeight="1">
      <c r="A576" s="1" t="s">
        <v>165</v>
      </c>
      <c r="B576" s="5">
        <v>2004</v>
      </c>
      <c r="C576" s="1" t="s">
        <v>219</v>
      </c>
      <c r="D576" s="1"/>
      <c r="E576" s="1"/>
      <c r="F576" s="14">
        <v>0.176</v>
      </c>
      <c r="G576" s="86" t="s">
        <v>10</v>
      </c>
      <c r="H576" s="138">
        <v>140.032</v>
      </c>
      <c r="I576" s="14">
        <f>$H576/$F576</f>
        <v>795.6363636363637</v>
      </c>
    </row>
  </sheetData>
  <mergeCells count="86">
    <mergeCell ref="F319:F320"/>
    <mergeCell ref="G319:G320"/>
    <mergeCell ref="I319:I320"/>
    <mergeCell ref="H319:H320"/>
    <mergeCell ref="F528:F532"/>
    <mergeCell ref="I520:I524"/>
    <mergeCell ref="I528:I532"/>
    <mergeCell ref="H528:H532"/>
    <mergeCell ref="F520:F524"/>
    <mergeCell ref="H520:H524"/>
    <mergeCell ref="F458:F462"/>
    <mergeCell ref="F432:F436"/>
    <mergeCell ref="I432:I436"/>
    <mergeCell ref="H402:H405"/>
    <mergeCell ref="I407:I409"/>
    <mergeCell ref="F413:F417"/>
    <mergeCell ref="G413:G417"/>
    <mergeCell ref="H413:H417"/>
    <mergeCell ref="I413:I417"/>
    <mergeCell ref="I458:I462"/>
    <mergeCell ref="H384:H387"/>
    <mergeCell ref="H389:H391"/>
    <mergeCell ref="H395:H397"/>
    <mergeCell ref="I402:I405"/>
    <mergeCell ref="I384:I387"/>
    <mergeCell ref="I389:I391"/>
    <mergeCell ref="I395:I397"/>
    <mergeCell ref="F384:F387"/>
    <mergeCell ref="F402:F405"/>
    <mergeCell ref="F407:F409"/>
    <mergeCell ref="G407:G409"/>
    <mergeCell ref="F389:F391"/>
    <mergeCell ref="F395:F397"/>
    <mergeCell ref="G389:G391"/>
    <mergeCell ref="G395:G397"/>
    <mergeCell ref="G8:G12"/>
    <mergeCell ref="I10:I14"/>
    <mergeCell ref="H10:H14"/>
    <mergeCell ref="F10:F14"/>
    <mergeCell ref="H407:H409"/>
    <mergeCell ref="F496:F500"/>
    <mergeCell ref="H496:H500"/>
    <mergeCell ref="I496:I500"/>
    <mergeCell ref="F483:F485"/>
    <mergeCell ref="G483:G485"/>
    <mergeCell ref="H483:H485"/>
    <mergeCell ref="I483:I485"/>
    <mergeCell ref="H487:H490"/>
    <mergeCell ref="H492:H494"/>
    <mergeCell ref="I487:I490"/>
    <mergeCell ref="F503:F506"/>
    <mergeCell ref="G503:G506"/>
    <mergeCell ref="H503:H506"/>
    <mergeCell ref="I503:I506"/>
    <mergeCell ref="G487:G490"/>
    <mergeCell ref="F492:F494"/>
    <mergeCell ref="I492:I494"/>
    <mergeCell ref="F487:F490"/>
    <mergeCell ref="F508:F510"/>
    <mergeCell ref="H508:H510"/>
    <mergeCell ref="I508:I510"/>
    <mergeCell ref="F512:F516"/>
    <mergeCell ref="H512:H516"/>
    <mergeCell ref="I512:I516"/>
    <mergeCell ref="F446:F448"/>
    <mergeCell ref="H446:H448"/>
    <mergeCell ref="I446:I448"/>
    <mergeCell ref="F466:F470"/>
    <mergeCell ref="H466:H470"/>
    <mergeCell ref="I466:I470"/>
    <mergeCell ref="H458:H462"/>
    <mergeCell ref="F450:F454"/>
    <mergeCell ref="H450:H454"/>
    <mergeCell ref="I450:I454"/>
    <mergeCell ref="F423:F426"/>
    <mergeCell ref="G423:G426"/>
    <mergeCell ref="H423:H426"/>
    <mergeCell ref="I423:I426"/>
    <mergeCell ref="F428:F430"/>
    <mergeCell ref="H428:H430"/>
    <mergeCell ref="I428:I430"/>
    <mergeCell ref="F441:F444"/>
    <mergeCell ref="G441:G444"/>
    <mergeCell ref="H441:H444"/>
    <mergeCell ref="I441:I444"/>
    <mergeCell ref="H432:H436"/>
  </mergeCells>
  <printOptions horizontalCentered="1"/>
  <pageMargins left="0.5905511811023623" right="0.5905511811023623" top="0.7874015748031497" bottom="0.5905511811023623" header="0.5118110236220472" footer="0.5118110236220472"/>
  <pageSetup fitToHeight="25" horizontalDpi="600" verticalDpi="600" orientation="portrait" paperSize="9" scale="91" r:id="rId3"/>
  <rowBreaks count="10" manualBreakCount="10">
    <brk id="57" max="8" man="1"/>
    <brk id="98" max="8" man="1"/>
    <brk id="151" max="8" man="1"/>
    <brk id="208" max="8" man="1"/>
    <brk id="267" max="8" man="1"/>
    <brk id="328" max="8" man="1"/>
    <brk id="380" max="8" man="1"/>
    <brk id="439" max="8" man="1"/>
    <brk id="501" max="8" man="1"/>
    <brk id="566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3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" width="5.8515625" style="5" customWidth="1"/>
    <col min="3" max="3" width="30.00390625" style="3" customWidth="1"/>
    <col min="4" max="4" width="23.28125" style="11" customWidth="1"/>
    <col min="5" max="5" width="1.7109375" style="95" customWidth="1"/>
    <col min="6" max="6" width="8.28125" style="14" customWidth="1"/>
    <col min="7" max="7" width="3.140625" style="86" customWidth="1"/>
    <col min="8" max="8" width="8.7109375" style="138" hidden="1" customWidth="1"/>
    <col min="9" max="9" width="8.7109375" style="14" customWidth="1"/>
    <col min="10" max="10" width="12.57421875" style="8" customWidth="1"/>
    <col min="11" max="11" width="9.00390625" style="8" customWidth="1"/>
    <col min="12" max="12" width="5.421875" style="8" customWidth="1"/>
    <col min="13" max="13" width="7.421875" style="8" customWidth="1"/>
    <col min="14" max="14" width="5.421875" style="8" customWidth="1"/>
    <col min="15" max="15" width="7.7109375" style="8" customWidth="1"/>
    <col min="16" max="16384" width="9.140625" style="1" customWidth="1"/>
  </cols>
  <sheetData>
    <row r="1" spans="1:9" s="58" customFormat="1" ht="19.5" customHeight="1">
      <c r="A1" s="108" t="s">
        <v>39</v>
      </c>
      <c r="B1" s="108"/>
      <c r="C1" s="108"/>
      <c r="D1" s="108"/>
      <c r="E1" s="109"/>
      <c r="F1" s="108"/>
      <c r="G1" s="116"/>
      <c r="H1" s="129"/>
      <c r="I1" s="108"/>
    </row>
    <row r="2" spans="1:9" ht="15.75">
      <c r="A2" s="6" t="s">
        <v>0</v>
      </c>
      <c r="B2" s="32" t="s">
        <v>31</v>
      </c>
      <c r="C2" s="6" t="s">
        <v>29</v>
      </c>
      <c r="D2" s="6" t="s">
        <v>41</v>
      </c>
      <c r="E2" s="96"/>
      <c r="F2" s="12" t="s">
        <v>1</v>
      </c>
      <c r="G2" s="117"/>
      <c r="H2" s="136" t="s">
        <v>2</v>
      </c>
      <c r="I2" s="12" t="s">
        <v>2</v>
      </c>
    </row>
    <row r="3" spans="1:9" ht="15.75">
      <c r="A3" s="7"/>
      <c r="B3" s="30"/>
      <c r="C3" s="7" t="s">
        <v>28</v>
      </c>
      <c r="D3" s="7"/>
      <c r="E3" s="97"/>
      <c r="F3" s="13" t="s">
        <v>91</v>
      </c>
      <c r="G3" s="114"/>
      <c r="H3" s="131" t="s">
        <v>92</v>
      </c>
      <c r="I3" s="13" t="s">
        <v>92</v>
      </c>
    </row>
    <row r="4" spans="1:9" ht="3" customHeight="1">
      <c r="A4" s="8"/>
      <c r="B4" s="22"/>
      <c r="C4" s="8"/>
      <c r="D4" s="8"/>
      <c r="E4" s="98"/>
      <c r="F4" s="18"/>
      <c r="G4" s="79"/>
      <c r="H4" s="130"/>
      <c r="I4" s="18"/>
    </row>
    <row r="5" spans="1:9" ht="12.75" customHeight="1">
      <c r="A5" s="8" t="s">
        <v>17</v>
      </c>
      <c r="B5" s="22">
        <v>2003</v>
      </c>
      <c r="C5" s="31" t="s">
        <v>4</v>
      </c>
      <c r="D5" s="10" t="s">
        <v>447</v>
      </c>
      <c r="E5" s="98"/>
      <c r="F5" s="19">
        <v>25.675</v>
      </c>
      <c r="G5" s="79"/>
      <c r="H5" s="120">
        <f>47864000</f>
        <v>47864000</v>
      </c>
      <c r="I5" s="19">
        <f>$H5/$F5/1000</f>
        <v>1864.2259006815968</v>
      </c>
    </row>
    <row r="6" spans="1:9" ht="12.75" customHeight="1">
      <c r="A6" s="8" t="s">
        <v>17</v>
      </c>
      <c r="B6" s="22">
        <v>2003</v>
      </c>
      <c r="C6" s="3" t="s">
        <v>73</v>
      </c>
      <c r="D6" s="10" t="s">
        <v>510</v>
      </c>
      <c r="E6" s="98"/>
      <c r="F6" s="19">
        <v>1.24</v>
      </c>
      <c r="G6" s="79"/>
      <c r="H6" s="120">
        <f>1560000</f>
        <v>1560000</v>
      </c>
      <c r="I6" s="19">
        <f>$H6/$F6/1000</f>
        <v>1258.0645161290322</v>
      </c>
    </row>
    <row r="7" spans="1:9" ht="12.75" customHeight="1">
      <c r="A7" s="8"/>
      <c r="B7" s="22"/>
      <c r="C7" s="8"/>
      <c r="D7" s="8"/>
      <c r="E7" s="98"/>
      <c r="F7" s="18"/>
      <c r="G7" s="79"/>
      <c r="H7" s="130"/>
      <c r="I7" s="18"/>
    </row>
    <row r="8" spans="1:9" ht="12.75" customHeight="1">
      <c r="A8" s="8" t="s">
        <v>17</v>
      </c>
      <c r="B8" s="22">
        <v>2004</v>
      </c>
      <c r="C8" s="3" t="s">
        <v>73</v>
      </c>
      <c r="D8" s="10" t="s">
        <v>510</v>
      </c>
      <c r="E8" s="288"/>
      <c r="F8" s="365">
        <f>35.38+5.968+2.824+1.21+3.29</f>
        <v>48.672</v>
      </c>
      <c r="G8" s="339"/>
      <c r="H8" s="363">
        <v>7853840</v>
      </c>
      <c r="I8" s="365">
        <f>$H8/$F8/1000</f>
        <v>161.36259040105193</v>
      </c>
    </row>
    <row r="9" spans="1:9" ht="12.75" customHeight="1">
      <c r="A9" s="8" t="s">
        <v>17</v>
      </c>
      <c r="B9" s="22">
        <v>2004</v>
      </c>
      <c r="C9" s="9" t="s">
        <v>3</v>
      </c>
      <c r="D9" s="10" t="s">
        <v>325</v>
      </c>
      <c r="E9" s="289"/>
      <c r="F9" s="365"/>
      <c r="G9" s="339"/>
      <c r="H9" s="363"/>
      <c r="I9" s="365"/>
    </row>
    <row r="10" spans="1:9" ht="12.75" customHeight="1">
      <c r="A10" s="8" t="s">
        <v>17</v>
      </c>
      <c r="B10" s="22">
        <v>2004</v>
      </c>
      <c r="C10" s="3" t="s">
        <v>11</v>
      </c>
      <c r="D10" s="10" t="s">
        <v>511</v>
      </c>
      <c r="E10" s="289"/>
      <c r="F10" s="365"/>
      <c r="G10" s="339"/>
      <c r="H10" s="363"/>
      <c r="I10" s="365"/>
    </row>
    <row r="11" spans="1:9" ht="12.75" customHeight="1">
      <c r="A11" s="8" t="s">
        <v>17</v>
      </c>
      <c r="B11" s="22">
        <v>2004</v>
      </c>
      <c r="C11" s="31" t="s">
        <v>4</v>
      </c>
      <c r="D11" s="10" t="s">
        <v>447</v>
      </c>
      <c r="E11" s="289"/>
      <c r="F11" s="365"/>
      <c r="G11" s="339"/>
      <c r="H11" s="363"/>
      <c r="I11" s="365"/>
    </row>
    <row r="12" spans="1:9" ht="12.75" customHeight="1">
      <c r="A12" s="8" t="s">
        <v>17</v>
      </c>
      <c r="B12" s="22">
        <v>2004</v>
      </c>
      <c r="C12" s="9"/>
      <c r="D12" s="10" t="s">
        <v>482</v>
      </c>
      <c r="E12" s="290"/>
      <c r="F12" s="365"/>
      <c r="G12" s="339"/>
      <c r="H12" s="363"/>
      <c r="I12" s="365"/>
    </row>
    <row r="13" spans="1:9" ht="12.75" customHeight="1">
      <c r="A13" s="8"/>
      <c r="B13" s="22"/>
      <c r="C13" s="8"/>
      <c r="D13" s="8"/>
      <c r="E13" s="98"/>
      <c r="F13" s="19"/>
      <c r="G13" s="79"/>
      <c r="H13" s="120"/>
      <c r="I13" s="19"/>
    </row>
    <row r="14" spans="1:15" ht="12.75" customHeight="1">
      <c r="A14" s="8" t="s">
        <v>186</v>
      </c>
      <c r="B14" s="22">
        <v>2003</v>
      </c>
      <c r="C14" s="9" t="s">
        <v>3</v>
      </c>
      <c r="D14" s="10" t="s">
        <v>325</v>
      </c>
      <c r="E14" s="98"/>
      <c r="F14" s="19">
        <f>77/10</f>
        <v>7.7</v>
      </c>
      <c r="G14" s="79"/>
      <c r="H14" s="120">
        <v>22085</v>
      </c>
      <c r="I14" s="26">
        <f aca="true" t="shared" si="0" ref="I14:I23">$H14/$F14/10</f>
        <v>286.8181818181818</v>
      </c>
      <c r="J14" s="71"/>
      <c r="K14" s="71"/>
      <c r="L14" s="67"/>
      <c r="M14" s="67"/>
      <c r="N14" s="67"/>
      <c r="O14" s="67"/>
    </row>
    <row r="15" spans="1:15" ht="12.75" customHeight="1">
      <c r="A15" s="8" t="s">
        <v>186</v>
      </c>
      <c r="B15" s="22">
        <v>2003</v>
      </c>
      <c r="C15" s="31" t="s">
        <v>18</v>
      </c>
      <c r="D15" s="75" t="s">
        <v>397</v>
      </c>
      <c r="E15" s="98"/>
      <c r="F15" s="19">
        <f>10/10</f>
        <v>1</v>
      </c>
      <c r="G15" s="79"/>
      <c r="H15" s="120">
        <v>3430</v>
      </c>
      <c r="I15" s="26">
        <f t="shared" si="0"/>
        <v>343</v>
      </c>
      <c r="J15" s="71"/>
      <c r="K15" s="71"/>
      <c r="L15" s="67"/>
      <c r="M15" s="67"/>
      <c r="N15" s="67"/>
      <c r="O15" s="67"/>
    </row>
    <row r="16" spans="1:15" ht="12.75" customHeight="1">
      <c r="A16" s="8" t="s">
        <v>186</v>
      </c>
      <c r="B16" s="22">
        <v>2003</v>
      </c>
      <c r="C16" s="31" t="s">
        <v>4</v>
      </c>
      <c r="D16" s="75" t="s">
        <v>394</v>
      </c>
      <c r="E16" s="98"/>
      <c r="F16" s="19">
        <f>9/10</f>
        <v>0.9</v>
      </c>
      <c r="G16" s="79"/>
      <c r="H16" s="120">
        <v>3605</v>
      </c>
      <c r="I16" s="26">
        <f t="shared" si="0"/>
        <v>400.55555555555554</v>
      </c>
      <c r="J16" s="71"/>
      <c r="K16" s="71"/>
      <c r="L16" s="67"/>
      <c r="M16" s="67"/>
      <c r="N16" s="67"/>
      <c r="O16" s="67"/>
    </row>
    <row r="17" spans="1:15" ht="12.75" customHeight="1">
      <c r="A17" s="8" t="s">
        <v>186</v>
      </c>
      <c r="B17" s="22">
        <v>2003</v>
      </c>
      <c r="C17" s="31" t="s">
        <v>9</v>
      </c>
      <c r="D17" s="75" t="s">
        <v>332</v>
      </c>
      <c r="E17" s="98"/>
      <c r="F17" s="19">
        <f>7/10</f>
        <v>0.7</v>
      </c>
      <c r="G17" s="79"/>
      <c r="H17" s="120">
        <v>2465</v>
      </c>
      <c r="I17" s="26">
        <f t="shared" si="0"/>
        <v>352.14285714285717</v>
      </c>
      <c r="J17" s="71"/>
      <c r="K17" s="71"/>
      <c r="L17" s="67"/>
      <c r="M17" s="67"/>
      <c r="N17" s="67"/>
      <c r="O17" s="67"/>
    </row>
    <row r="18" spans="1:15" ht="12.75" customHeight="1">
      <c r="A18" s="8" t="s">
        <v>186</v>
      </c>
      <c r="B18" s="22">
        <v>2003</v>
      </c>
      <c r="C18" s="31" t="s">
        <v>178</v>
      </c>
      <c r="D18" s="27" t="s">
        <v>537</v>
      </c>
      <c r="E18" s="98"/>
      <c r="F18" s="19">
        <f>5/10</f>
        <v>0.5</v>
      </c>
      <c r="G18" s="79"/>
      <c r="H18" s="120">
        <v>1545</v>
      </c>
      <c r="I18" s="26">
        <f t="shared" si="0"/>
        <v>309</v>
      </c>
      <c r="J18" s="71"/>
      <c r="K18" s="71"/>
      <c r="L18" s="67"/>
      <c r="M18" s="67"/>
      <c r="N18" s="67"/>
      <c r="O18" s="67"/>
    </row>
    <row r="19" spans="1:15" ht="12.75" customHeight="1">
      <c r="A19" s="8" t="s">
        <v>186</v>
      </c>
      <c r="B19" s="22">
        <v>2003</v>
      </c>
      <c r="C19" s="9" t="s">
        <v>187</v>
      </c>
      <c r="D19" s="10" t="s">
        <v>398</v>
      </c>
      <c r="E19" s="98"/>
      <c r="F19" s="19">
        <f>4/10</f>
        <v>0.4</v>
      </c>
      <c r="G19" s="79" t="s">
        <v>10</v>
      </c>
      <c r="H19" s="120">
        <v>1353</v>
      </c>
      <c r="I19" s="26">
        <f t="shared" si="0"/>
        <v>338.25</v>
      </c>
      <c r="J19" s="226"/>
      <c r="K19" s="227"/>
      <c r="L19" s="67"/>
      <c r="M19" s="67"/>
      <c r="N19" s="67"/>
      <c r="O19" s="67"/>
    </row>
    <row r="20" spans="1:15" ht="12.75" customHeight="1">
      <c r="A20" s="8" t="s">
        <v>186</v>
      </c>
      <c r="B20" s="22">
        <v>2003</v>
      </c>
      <c r="C20" s="31" t="s">
        <v>188</v>
      </c>
      <c r="D20" s="75" t="s">
        <v>396</v>
      </c>
      <c r="E20" s="98"/>
      <c r="F20" s="19">
        <f>3/10</f>
        <v>0.3</v>
      </c>
      <c r="G20" s="79" t="s">
        <v>10</v>
      </c>
      <c r="H20" s="120">
        <v>993</v>
      </c>
      <c r="I20" s="26">
        <f t="shared" si="0"/>
        <v>331</v>
      </c>
      <c r="J20" s="71"/>
      <c r="K20" s="71"/>
      <c r="L20" s="67"/>
      <c r="M20" s="67"/>
      <c r="N20" s="67"/>
      <c r="O20" s="67"/>
    </row>
    <row r="21" spans="1:15" s="24" customFormat="1" ht="12.75" customHeight="1">
      <c r="A21" s="8" t="s">
        <v>186</v>
      </c>
      <c r="B21" s="22">
        <v>2003</v>
      </c>
      <c r="C21" s="3" t="s">
        <v>541</v>
      </c>
      <c r="D21" s="1" t="s">
        <v>449</v>
      </c>
      <c r="E21" s="98"/>
      <c r="F21" s="19">
        <f>2/10</f>
        <v>0.2</v>
      </c>
      <c r="G21" s="79" t="s">
        <v>10</v>
      </c>
      <c r="H21" s="120">
        <v>718</v>
      </c>
      <c r="I21" s="26">
        <f t="shared" si="0"/>
        <v>359</v>
      </c>
      <c r="J21" s="71"/>
      <c r="K21" s="71"/>
      <c r="L21" s="67"/>
      <c r="M21" s="67"/>
      <c r="N21" s="67"/>
      <c r="O21" s="67"/>
    </row>
    <row r="22" spans="1:15" s="24" customFormat="1" ht="12.75" customHeight="1">
      <c r="A22" s="8" t="s">
        <v>186</v>
      </c>
      <c r="B22" s="22">
        <v>2003</v>
      </c>
      <c r="C22" s="31" t="s">
        <v>194</v>
      </c>
      <c r="D22" s="27" t="s">
        <v>339</v>
      </c>
      <c r="E22" s="98"/>
      <c r="F22" s="19">
        <f>2/10</f>
        <v>0.2</v>
      </c>
      <c r="G22" s="79" t="s">
        <v>10</v>
      </c>
      <c r="H22" s="120">
        <v>603</v>
      </c>
      <c r="I22" s="26">
        <f t="shared" si="0"/>
        <v>301.5</v>
      </c>
      <c r="J22" s="71"/>
      <c r="K22" s="71"/>
      <c r="L22" s="67"/>
      <c r="M22" s="67"/>
      <c r="N22" s="67"/>
      <c r="O22" s="67"/>
    </row>
    <row r="23" spans="1:15" s="24" customFormat="1" ht="12.75" customHeight="1">
      <c r="A23" s="8" t="s">
        <v>186</v>
      </c>
      <c r="B23" s="22">
        <v>2003</v>
      </c>
      <c r="C23" s="3" t="s">
        <v>539</v>
      </c>
      <c r="D23" s="1" t="s">
        <v>551</v>
      </c>
      <c r="E23" s="98"/>
      <c r="F23" s="19">
        <f>2/10</f>
        <v>0.2</v>
      </c>
      <c r="G23" s="79" t="s">
        <v>10</v>
      </c>
      <c r="H23" s="120">
        <v>650</v>
      </c>
      <c r="I23" s="26">
        <f t="shared" si="0"/>
        <v>325</v>
      </c>
      <c r="J23" s="71"/>
      <c r="K23" s="71"/>
      <c r="L23" s="67"/>
      <c r="M23" s="67"/>
      <c r="N23" s="67"/>
      <c r="O23" s="67"/>
    </row>
    <row r="24" spans="1:15" s="24" customFormat="1" ht="12.75" customHeight="1">
      <c r="A24" s="8"/>
      <c r="B24" s="22"/>
      <c r="C24" s="8"/>
      <c r="D24" s="8"/>
      <c r="E24" s="98"/>
      <c r="F24" s="19"/>
      <c r="G24" s="79"/>
      <c r="H24" s="120"/>
      <c r="I24" s="29"/>
      <c r="J24" s="25"/>
      <c r="K24" s="25"/>
      <c r="L24" s="25"/>
      <c r="M24" s="25"/>
      <c r="N24" s="25"/>
      <c r="O24" s="25"/>
    </row>
    <row r="25" spans="1:15" s="24" customFormat="1" ht="12.75" customHeight="1">
      <c r="A25" s="8" t="s">
        <v>186</v>
      </c>
      <c r="B25" s="22">
        <v>2004</v>
      </c>
      <c r="C25" s="9" t="s">
        <v>3</v>
      </c>
      <c r="D25" s="8" t="s">
        <v>325</v>
      </c>
      <c r="E25" s="98"/>
      <c r="F25" s="19">
        <f>91/10</f>
        <v>9.1</v>
      </c>
      <c r="G25" s="79"/>
      <c r="H25" s="120">
        <v>30357</v>
      </c>
      <c r="I25" s="26">
        <f aca="true" t="shared" si="1" ref="I25:I34">$H25/$F25/10</f>
        <v>333.5934065934066</v>
      </c>
      <c r="J25" s="25"/>
      <c r="K25" s="25"/>
      <c r="L25" s="25"/>
      <c r="M25" s="25"/>
      <c r="N25" s="25"/>
      <c r="O25" s="25"/>
    </row>
    <row r="26" spans="1:15" s="24" customFormat="1" ht="12.75" customHeight="1">
      <c r="A26" s="8" t="s">
        <v>186</v>
      </c>
      <c r="B26" s="22">
        <v>2004</v>
      </c>
      <c r="C26" s="9" t="s">
        <v>9</v>
      </c>
      <c r="D26" s="8" t="s">
        <v>332</v>
      </c>
      <c r="E26" s="98"/>
      <c r="F26" s="19">
        <f>10/10</f>
        <v>1</v>
      </c>
      <c r="G26" s="79"/>
      <c r="H26" s="120">
        <v>3173</v>
      </c>
      <c r="I26" s="26">
        <f t="shared" si="1"/>
        <v>317.3</v>
      </c>
      <c r="J26" s="25"/>
      <c r="K26" s="25"/>
      <c r="L26" s="25"/>
      <c r="M26" s="25"/>
      <c r="N26" s="25"/>
      <c r="O26" s="25"/>
    </row>
    <row r="27" spans="1:15" s="24" customFormat="1" ht="12.75" customHeight="1">
      <c r="A27" s="8" t="s">
        <v>186</v>
      </c>
      <c r="B27" s="22">
        <v>2004</v>
      </c>
      <c r="C27" s="9" t="s">
        <v>18</v>
      </c>
      <c r="D27" s="8" t="s">
        <v>397</v>
      </c>
      <c r="E27" s="98"/>
      <c r="F27" s="19">
        <f>9/10</f>
        <v>0.9</v>
      </c>
      <c r="G27" s="79"/>
      <c r="H27" s="120">
        <v>3034</v>
      </c>
      <c r="I27" s="26">
        <f t="shared" si="1"/>
        <v>337.1111111111111</v>
      </c>
      <c r="J27" s="25"/>
      <c r="K27" s="25"/>
      <c r="L27" s="25"/>
      <c r="M27" s="25"/>
      <c r="N27" s="25"/>
      <c r="O27" s="25"/>
    </row>
    <row r="28" spans="1:15" s="24" customFormat="1" ht="12.75" customHeight="1">
      <c r="A28" s="8" t="s">
        <v>186</v>
      </c>
      <c r="B28" s="22">
        <v>2004</v>
      </c>
      <c r="C28" s="9" t="s">
        <v>4</v>
      </c>
      <c r="D28" s="8" t="s">
        <v>394</v>
      </c>
      <c r="E28" s="98"/>
      <c r="F28" s="19">
        <f>7/10</f>
        <v>0.7</v>
      </c>
      <c r="G28" s="79"/>
      <c r="H28" s="120">
        <v>2317</v>
      </c>
      <c r="I28" s="26">
        <f t="shared" si="1"/>
        <v>331</v>
      </c>
      <c r="J28" s="25"/>
      <c r="K28" s="25"/>
      <c r="L28" s="25"/>
      <c r="M28" s="25"/>
      <c r="N28" s="25"/>
      <c r="O28" s="25"/>
    </row>
    <row r="29" spans="1:15" s="24" customFormat="1" ht="12.75" customHeight="1">
      <c r="A29" s="8" t="s">
        <v>186</v>
      </c>
      <c r="B29" s="22">
        <v>2004</v>
      </c>
      <c r="C29" s="9" t="s">
        <v>187</v>
      </c>
      <c r="D29" s="8" t="s">
        <v>398</v>
      </c>
      <c r="E29" s="98"/>
      <c r="F29" s="19">
        <f>5/10</f>
        <v>0.5</v>
      </c>
      <c r="G29" s="79"/>
      <c r="H29" s="120">
        <v>1520</v>
      </c>
      <c r="I29" s="26">
        <f t="shared" si="1"/>
        <v>304</v>
      </c>
      <c r="J29" s="25"/>
      <c r="K29" s="25"/>
      <c r="L29" s="25"/>
      <c r="M29" s="25"/>
      <c r="N29" s="25"/>
      <c r="O29" s="25"/>
    </row>
    <row r="30" spans="1:15" s="24" customFormat="1" ht="12.75" customHeight="1">
      <c r="A30" s="8" t="s">
        <v>186</v>
      </c>
      <c r="B30" s="22">
        <v>2004</v>
      </c>
      <c r="C30" s="9" t="s">
        <v>188</v>
      </c>
      <c r="D30" s="8" t="s">
        <v>396</v>
      </c>
      <c r="E30" s="98"/>
      <c r="F30" s="19">
        <f>4/10</f>
        <v>0.4</v>
      </c>
      <c r="G30" s="79" t="s">
        <v>10</v>
      </c>
      <c r="H30" s="120">
        <v>1450</v>
      </c>
      <c r="I30" s="26">
        <f t="shared" si="1"/>
        <v>362.5</v>
      </c>
      <c r="J30" s="25"/>
      <c r="K30" s="25"/>
      <c r="L30" s="25"/>
      <c r="M30" s="25"/>
      <c r="N30" s="25"/>
      <c r="O30" s="25"/>
    </row>
    <row r="31" spans="1:15" s="24" customFormat="1" ht="12.75" customHeight="1">
      <c r="A31" s="8" t="s">
        <v>186</v>
      </c>
      <c r="B31" s="22">
        <v>2004</v>
      </c>
      <c r="C31" s="9" t="s">
        <v>178</v>
      </c>
      <c r="D31" s="8" t="s">
        <v>537</v>
      </c>
      <c r="E31" s="98"/>
      <c r="F31" s="19">
        <f>2/10</f>
        <v>0.2</v>
      </c>
      <c r="G31" s="79" t="s">
        <v>10</v>
      </c>
      <c r="H31" s="120">
        <v>832</v>
      </c>
      <c r="I31" s="26">
        <f t="shared" si="1"/>
        <v>416</v>
      </c>
      <c r="J31" s="25"/>
      <c r="K31" s="25"/>
      <c r="L31" s="25"/>
      <c r="M31" s="25"/>
      <c r="N31" s="25"/>
      <c r="O31" s="25"/>
    </row>
    <row r="32" spans="1:15" s="24" customFormat="1" ht="12.75" customHeight="1">
      <c r="A32" s="8" t="s">
        <v>186</v>
      </c>
      <c r="B32" s="22">
        <v>2004</v>
      </c>
      <c r="C32" s="9" t="s">
        <v>541</v>
      </c>
      <c r="D32" s="8" t="s">
        <v>449</v>
      </c>
      <c r="E32" s="98"/>
      <c r="F32" s="19">
        <f>2/10</f>
        <v>0.2</v>
      </c>
      <c r="G32" s="79" t="s">
        <v>10</v>
      </c>
      <c r="H32" s="120">
        <v>703</v>
      </c>
      <c r="I32" s="26">
        <f t="shared" si="1"/>
        <v>351.5</v>
      </c>
      <c r="J32" s="25"/>
      <c r="K32" s="25"/>
      <c r="L32" s="25"/>
      <c r="M32" s="25"/>
      <c r="N32" s="25"/>
      <c r="O32" s="25"/>
    </row>
    <row r="33" spans="1:15" s="24" customFormat="1" ht="12.75" customHeight="1">
      <c r="A33" s="8" t="s">
        <v>186</v>
      </c>
      <c r="B33" s="22">
        <v>2004</v>
      </c>
      <c r="C33" s="9" t="s">
        <v>194</v>
      </c>
      <c r="D33" s="8" t="s">
        <v>339</v>
      </c>
      <c r="E33" s="98"/>
      <c r="F33" s="19">
        <f>2/10</f>
        <v>0.2</v>
      </c>
      <c r="G33" s="79" t="s">
        <v>10</v>
      </c>
      <c r="H33" s="120">
        <v>591</v>
      </c>
      <c r="I33" s="26">
        <f t="shared" si="1"/>
        <v>295.5</v>
      </c>
      <c r="J33" s="25"/>
      <c r="K33" s="25"/>
      <c r="L33" s="25"/>
      <c r="M33" s="25"/>
      <c r="N33" s="25"/>
      <c r="O33" s="25"/>
    </row>
    <row r="34" spans="1:15" s="24" customFormat="1" ht="12.75" customHeight="1">
      <c r="A34" s="8" t="s">
        <v>186</v>
      </c>
      <c r="B34" s="22">
        <v>2004</v>
      </c>
      <c r="C34" s="9" t="s">
        <v>539</v>
      </c>
      <c r="D34" s="8" t="s">
        <v>551</v>
      </c>
      <c r="E34" s="98"/>
      <c r="F34" s="19">
        <f>1/10</f>
        <v>0.1</v>
      </c>
      <c r="G34" s="79" t="s">
        <v>10</v>
      </c>
      <c r="H34" s="120">
        <v>177</v>
      </c>
      <c r="I34" s="26">
        <f t="shared" si="1"/>
        <v>177</v>
      </c>
      <c r="J34" s="25"/>
      <c r="K34" s="25"/>
      <c r="L34" s="25"/>
      <c r="M34" s="25"/>
      <c r="N34" s="25"/>
      <c r="O34" s="25"/>
    </row>
    <row r="35" spans="1:15" s="24" customFormat="1" ht="12.75" customHeight="1">
      <c r="A35" s="8"/>
      <c r="B35" s="22"/>
      <c r="C35" s="8"/>
      <c r="D35" s="8"/>
      <c r="E35" s="98"/>
      <c r="F35" s="18"/>
      <c r="G35" s="79"/>
      <c r="H35" s="130"/>
      <c r="I35" s="18"/>
      <c r="J35" s="25"/>
      <c r="K35" s="25"/>
      <c r="L35" s="25"/>
      <c r="M35" s="25"/>
      <c r="N35" s="25"/>
      <c r="O35" s="25"/>
    </row>
    <row r="36" spans="1:15" s="24" customFormat="1" ht="12.75" customHeight="1">
      <c r="A36" s="1" t="s">
        <v>192</v>
      </c>
      <c r="B36" s="5">
        <v>2003</v>
      </c>
      <c r="C36" s="9" t="s">
        <v>6</v>
      </c>
      <c r="D36" s="27" t="s">
        <v>323</v>
      </c>
      <c r="E36" s="33"/>
      <c r="F36" s="90">
        <v>646.664</v>
      </c>
      <c r="G36" s="87"/>
      <c r="H36" s="128">
        <v>41314.28319339298</v>
      </c>
      <c r="I36" s="26">
        <f>$H36/$F36</f>
        <v>63.88833025093863</v>
      </c>
      <c r="J36" s="25"/>
      <c r="K36" s="25"/>
      <c r="L36" s="25"/>
      <c r="M36" s="25"/>
      <c r="N36" s="25"/>
      <c r="O36" s="25"/>
    </row>
    <row r="37" spans="1:15" s="24" customFormat="1" ht="12.75" customHeight="1">
      <c r="A37" s="1"/>
      <c r="B37" s="5"/>
      <c r="C37" s="9"/>
      <c r="D37" s="27"/>
      <c r="E37" s="33"/>
      <c r="F37" s="90"/>
      <c r="G37" s="87"/>
      <c r="H37" s="128"/>
      <c r="I37" s="26"/>
      <c r="J37" s="25"/>
      <c r="K37" s="25"/>
      <c r="L37" s="25"/>
      <c r="M37" s="25"/>
      <c r="N37" s="25"/>
      <c r="O37" s="25"/>
    </row>
    <row r="38" spans="1:15" s="24" customFormat="1" ht="12.75" customHeight="1">
      <c r="A38" s="1" t="s">
        <v>192</v>
      </c>
      <c r="B38" s="5">
        <v>2004</v>
      </c>
      <c r="C38" s="9" t="s">
        <v>6</v>
      </c>
      <c r="D38" s="27" t="s">
        <v>323</v>
      </c>
      <c r="E38" s="33"/>
      <c r="F38" s="90">
        <v>111.6</v>
      </c>
      <c r="G38" s="87"/>
      <c r="H38" s="128">
        <v>8711.108862724313</v>
      </c>
      <c r="I38" s="26">
        <f>$H38/$F38</f>
        <v>78.05653102799565</v>
      </c>
      <c r="J38" s="25"/>
      <c r="K38" s="25"/>
      <c r="L38" s="25"/>
      <c r="M38" s="25"/>
      <c r="N38" s="25"/>
      <c r="O38" s="25"/>
    </row>
    <row r="39" spans="1:15" s="24" customFormat="1" ht="12.75" customHeight="1">
      <c r="A39" s="1"/>
      <c r="B39" s="5"/>
      <c r="C39" s="9"/>
      <c r="D39" s="27"/>
      <c r="E39" s="33"/>
      <c r="F39" s="90"/>
      <c r="G39" s="87"/>
      <c r="H39" s="128"/>
      <c r="I39" s="26"/>
      <c r="J39" s="25"/>
      <c r="K39" s="25"/>
      <c r="L39" s="25"/>
      <c r="M39" s="25"/>
      <c r="N39" s="25"/>
      <c r="O39" s="25"/>
    </row>
    <row r="40" spans="1:15" s="24" customFormat="1" ht="12.75" customHeight="1">
      <c r="A40" s="1" t="s">
        <v>21</v>
      </c>
      <c r="B40" s="22">
        <v>2003</v>
      </c>
      <c r="C40" s="28" t="s">
        <v>19</v>
      </c>
      <c r="D40" s="27" t="s">
        <v>429</v>
      </c>
      <c r="E40" s="33"/>
      <c r="F40" s="90">
        <v>62.131</v>
      </c>
      <c r="G40" s="88"/>
      <c r="H40" s="139">
        <v>17584.47</v>
      </c>
      <c r="I40" s="59">
        <f>15021.195/F40</f>
        <v>241.76650947192223</v>
      </c>
      <c r="J40" s="25"/>
      <c r="K40" s="25"/>
      <c r="L40" s="25"/>
      <c r="M40" s="25"/>
      <c r="N40" s="25"/>
      <c r="O40" s="25"/>
    </row>
    <row r="41" spans="1:15" s="24" customFormat="1" ht="12.75" customHeight="1">
      <c r="A41" s="1" t="s">
        <v>21</v>
      </c>
      <c r="B41" s="22">
        <v>2003</v>
      </c>
      <c r="C41" s="28" t="s">
        <v>26</v>
      </c>
      <c r="D41" s="27" t="s">
        <v>361</v>
      </c>
      <c r="E41" s="33"/>
      <c r="F41" s="90">
        <v>13.562</v>
      </c>
      <c r="G41" s="88"/>
      <c r="H41" s="139">
        <v>14772.912</v>
      </c>
      <c r="I41" s="59">
        <f>16854.33/F41</f>
        <v>1242.7613921250554</v>
      </c>
      <c r="J41" s="25"/>
      <c r="K41" s="25"/>
      <c r="L41" s="25"/>
      <c r="M41" s="25"/>
      <c r="N41" s="25"/>
      <c r="O41" s="25"/>
    </row>
    <row r="42" spans="1:15" s="24" customFormat="1" ht="12.75" customHeight="1">
      <c r="A42" s="1" t="s">
        <v>21</v>
      </c>
      <c r="B42" s="22">
        <v>2003</v>
      </c>
      <c r="C42" s="28" t="s">
        <v>16</v>
      </c>
      <c r="D42" s="27" t="s">
        <v>430</v>
      </c>
      <c r="E42" s="33"/>
      <c r="F42" s="90">
        <v>6.099</v>
      </c>
      <c r="G42" s="88"/>
      <c r="H42" s="139">
        <v>3705.421</v>
      </c>
      <c r="I42" s="59">
        <f>2726.674/F42</f>
        <v>447.06902770946056</v>
      </c>
      <c r="J42" s="25"/>
      <c r="K42" s="25"/>
      <c r="L42" s="25"/>
      <c r="M42" s="25"/>
      <c r="N42" s="25"/>
      <c r="O42" s="25"/>
    </row>
    <row r="43" spans="1:15" s="24" customFormat="1" ht="12.75" customHeight="1">
      <c r="A43" s="1" t="s">
        <v>21</v>
      </c>
      <c r="B43" s="22">
        <v>2003</v>
      </c>
      <c r="C43" s="28" t="s">
        <v>195</v>
      </c>
      <c r="D43" s="27" t="s">
        <v>431</v>
      </c>
      <c r="E43" s="33"/>
      <c r="F43" s="90">
        <v>5.306</v>
      </c>
      <c r="G43" s="88"/>
      <c r="H43" s="139">
        <v>1765.146</v>
      </c>
      <c r="I43" s="59">
        <f>1363.149/F43</f>
        <v>256.9070863173765</v>
      </c>
      <c r="J43" s="25"/>
      <c r="K43" s="25"/>
      <c r="L43" s="25"/>
      <c r="M43" s="25"/>
      <c r="N43" s="25"/>
      <c r="O43" s="25"/>
    </row>
    <row r="44" spans="1:15" s="24" customFormat="1" ht="12.75" customHeight="1">
      <c r="A44" s="1" t="s">
        <v>21</v>
      </c>
      <c r="B44" s="22">
        <v>2003</v>
      </c>
      <c r="C44" s="28" t="s">
        <v>8</v>
      </c>
      <c r="D44" s="27" t="s">
        <v>327</v>
      </c>
      <c r="E44" s="33"/>
      <c r="F44" s="90">
        <v>4.35</v>
      </c>
      <c r="G44" s="88"/>
      <c r="H44" s="139">
        <v>8892.327</v>
      </c>
      <c r="I44" s="59">
        <f>1928.132/F44</f>
        <v>443.248735632184</v>
      </c>
      <c r="J44" s="25"/>
      <c r="K44" s="25"/>
      <c r="L44" s="25"/>
      <c r="M44" s="25"/>
      <c r="N44" s="25"/>
      <c r="O44" s="25"/>
    </row>
    <row r="45" spans="1:15" s="24" customFormat="1" ht="12.75" customHeight="1">
      <c r="A45" s="1" t="s">
        <v>21</v>
      </c>
      <c r="B45" s="22">
        <v>2003</v>
      </c>
      <c r="C45" s="28" t="s">
        <v>20</v>
      </c>
      <c r="D45" s="27" t="s">
        <v>432</v>
      </c>
      <c r="E45" s="33"/>
      <c r="F45" s="90">
        <v>3.49</v>
      </c>
      <c r="G45" s="88"/>
      <c r="H45" s="139">
        <v>2901.633</v>
      </c>
      <c r="I45" s="59">
        <f>7383.275/F45</f>
        <v>2115.551575931232</v>
      </c>
      <c r="J45" s="25"/>
      <c r="K45" s="25"/>
      <c r="L45" s="25"/>
      <c r="M45" s="25"/>
      <c r="N45" s="25"/>
      <c r="O45" s="25"/>
    </row>
    <row r="46" spans="1:15" s="24" customFormat="1" ht="12.75" customHeight="1">
      <c r="A46" s="1" t="s">
        <v>21</v>
      </c>
      <c r="B46" s="22">
        <v>2003</v>
      </c>
      <c r="C46" s="28" t="s">
        <v>3</v>
      </c>
      <c r="D46" s="27" t="s">
        <v>331</v>
      </c>
      <c r="E46" s="33"/>
      <c r="F46" s="90">
        <v>2.701</v>
      </c>
      <c r="G46" s="88"/>
      <c r="H46" s="139">
        <v>2232.585</v>
      </c>
      <c r="I46" s="59">
        <f>2543.878/F46</f>
        <v>941.8282117734173</v>
      </c>
      <c r="J46" s="25"/>
      <c r="K46" s="25"/>
      <c r="L46" s="25"/>
      <c r="M46" s="25"/>
      <c r="N46" s="25"/>
      <c r="O46" s="25"/>
    </row>
    <row r="47" spans="1:15" s="24" customFormat="1" ht="12.75" customHeight="1">
      <c r="A47" s="1" t="s">
        <v>21</v>
      </c>
      <c r="B47" s="22">
        <v>2003</v>
      </c>
      <c r="C47" s="28" t="s">
        <v>444</v>
      </c>
      <c r="D47" s="27" t="s">
        <v>492</v>
      </c>
      <c r="E47" s="33"/>
      <c r="F47" s="90">
        <v>1.793</v>
      </c>
      <c r="G47" s="88"/>
      <c r="H47" s="139">
        <v>1911.314</v>
      </c>
      <c r="I47" s="59">
        <f>1861.731/F47</f>
        <v>1038.3329615170107</v>
      </c>
      <c r="J47" s="25"/>
      <c r="K47" s="25"/>
      <c r="L47" s="25"/>
      <c r="M47" s="25"/>
      <c r="N47" s="25"/>
      <c r="O47" s="25"/>
    </row>
    <row r="48" spans="1:15" s="24" customFormat="1" ht="12.75" customHeight="1">
      <c r="A48" s="1" t="s">
        <v>21</v>
      </c>
      <c r="B48" s="22">
        <v>2003</v>
      </c>
      <c r="C48" s="25"/>
      <c r="D48" s="24" t="s">
        <v>484</v>
      </c>
      <c r="E48" s="5"/>
      <c r="F48" s="26">
        <v>8.212</v>
      </c>
      <c r="G48" s="88"/>
      <c r="H48" s="139">
        <v>5530.251</v>
      </c>
      <c r="I48" s="59">
        <f>3672.039/F48</f>
        <v>447.15526059425235</v>
      </c>
      <c r="J48" s="25"/>
      <c r="K48" s="25"/>
      <c r="L48" s="25"/>
      <c r="M48" s="25"/>
      <c r="N48" s="25"/>
      <c r="O48" s="25"/>
    </row>
    <row r="49" spans="1:15" s="24" customFormat="1" ht="12.75" customHeight="1">
      <c r="A49" s="1"/>
      <c r="B49" s="22"/>
      <c r="C49" s="25"/>
      <c r="E49" s="5"/>
      <c r="F49" s="26"/>
      <c r="G49" s="88"/>
      <c r="H49" s="139"/>
      <c r="I49" s="59"/>
      <c r="J49" s="25"/>
      <c r="K49" s="25"/>
      <c r="L49" s="25"/>
      <c r="M49" s="25"/>
      <c r="N49" s="25"/>
      <c r="O49" s="25"/>
    </row>
    <row r="50" spans="1:15" s="24" customFormat="1" ht="12.75" customHeight="1">
      <c r="A50" s="1" t="s">
        <v>21</v>
      </c>
      <c r="B50" s="22">
        <v>2004</v>
      </c>
      <c r="C50" s="28" t="s">
        <v>19</v>
      </c>
      <c r="D50" s="27" t="s">
        <v>429</v>
      </c>
      <c r="E50" s="33"/>
      <c r="F50" s="90">
        <v>52.402</v>
      </c>
      <c r="G50" s="88"/>
      <c r="H50" s="139">
        <v>14214.964</v>
      </c>
      <c r="I50" s="59">
        <f>17584.47/F50</f>
        <v>335.56868058471053</v>
      </c>
      <c r="J50" s="25"/>
      <c r="K50" s="25"/>
      <c r="L50" s="25"/>
      <c r="M50" s="25"/>
      <c r="N50" s="25"/>
      <c r="O50" s="25"/>
    </row>
    <row r="51" spans="1:15" s="24" customFormat="1" ht="12.75" customHeight="1">
      <c r="A51" s="1" t="s">
        <v>21</v>
      </c>
      <c r="B51" s="22">
        <v>2004</v>
      </c>
      <c r="C51" s="28" t="s">
        <v>26</v>
      </c>
      <c r="D51" s="27" t="s">
        <v>361</v>
      </c>
      <c r="E51" s="33"/>
      <c r="F51" s="90">
        <v>12.694</v>
      </c>
      <c r="G51" s="88"/>
      <c r="H51" s="139">
        <v>13450.756</v>
      </c>
      <c r="I51" s="59">
        <f>14772.912/F51</f>
        <v>1163.7712305025996</v>
      </c>
      <c r="J51" s="25"/>
      <c r="K51" s="25"/>
      <c r="L51" s="25"/>
      <c r="M51" s="25"/>
      <c r="N51" s="25"/>
      <c r="O51" s="25"/>
    </row>
    <row r="52" spans="1:15" s="24" customFormat="1" ht="12.75" customHeight="1">
      <c r="A52" s="1" t="s">
        <v>21</v>
      </c>
      <c r="B52" s="22">
        <v>2004</v>
      </c>
      <c r="C52" s="28" t="s">
        <v>16</v>
      </c>
      <c r="D52" s="27" t="s">
        <v>430</v>
      </c>
      <c r="E52" s="33"/>
      <c r="F52" s="90">
        <v>8.708</v>
      </c>
      <c r="G52" s="88"/>
      <c r="H52" s="139">
        <v>5134.768</v>
      </c>
      <c r="I52" s="59">
        <f>3705.421/F52</f>
        <v>425.51917776757</v>
      </c>
      <c r="J52" s="25"/>
      <c r="K52" s="25"/>
      <c r="L52" s="25"/>
      <c r="M52" s="25"/>
      <c r="N52" s="25"/>
      <c r="O52" s="25"/>
    </row>
    <row r="53" spans="1:15" s="24" customFormat="1" ht="12.75" customHeight="1">
      <c r="A53" s="1" t="s">
        <v>21</v>
      </c>
      <c r="B53" s="22">
        <v>2004</v>
      </c>
      <c r="C53" s="28" t="s">
        <v>8</v>
      </c>
      <c r="D53" s="27" t="s">
        <v>327</v>
      </c>
      <c r="E53" s="33"/>
      <c r="F53" s="90">
        <v>6.18</v>
      </c>
      <c r="G53" s="88"/>
      <c r="H53" s="139">
        <v>10362.741</v>
      </c>
      <c r="I53" s="59">
        <f>1765.146/F53</f>
        <v>285.6223300970874</v>
      </c>
      <c r="J53" s="25"/>
      <c r="K53" s="25"/>
      <c r="L53" s="25"/>
      <c r="M53" s="25"/>
      <c r="N53" s="25"/>
      <c r="O53" s="25"/>
    </row>
    <row r="54" spans="1:15" s="24" customFormat="1" ht="12.75" customHeight="1">
      <c r="A54" s="1" t="s">
        <v>21</v>
      </c>
      <c r="B54" s="22">
        <v>2004</v>
      </c>
      <c r="C54" s="28" t="s">
        <v>20</v>
      </c>
      <c r="D54" s="27" t="s">
        <v>432</v>
      </c>
      <c r="E54" s="33"/>
      <c r="F54" s="90">
        <v>5.024</v>
      </c>
      <c r="G54" s="88"/>
      <c r="H54" s="139">
        <v>3483.839</v>
      </c>
      <c r="I54" s="59">
        <f>8892.327/F54</f>
        <v>1769.9695461783438</v>
      </c>
      <c r="J54" s="25"/>
      <c r="K54" s="25"/>
      <c r="L54" s="25"/>
      <c r="M54" s="25"/>
      <c r="N54" s="25"/>
      <c r="O54" s="25"/>
    </row>
    <row r="55" spans="1:15" s="24" customFormat="1" ht="12.75" customHeight="1">
      <c r="A55" s="1" t="s">
        <v>21</v>
      </c>
      <c r="B55" s="22">
        <v>2004</v>
      </c>
      <c r="C55" s="28" t="s">
        <v>195</v>
      </c>
      <c r="D55" s="27" t="s">
        <v>431</v>
      </c>
      <c r="E55" s="33"/>
      <c r="F55" s="90">
        <v>4.376</v>
      </c>
      <c r="G55" s="88"/>
      <c r="H55" s="139">
        <v>1405.193</v>
      </c>
      <c r="I55" s="59">
        <f>1691.898/F55</f>
        <v>386.63117001828147</v>
      </c>
      <c r="J55" s="25"/>
      <c r="K55" s="25"/>
      <c r="L55" s="25"/>
      <c r="M55" s="25"/>
      <c r="N55" s="25"/>
      <c r="O55" s="25"/>
    </row>
    <row r="56" spans="1:15" s="24" customFormat="1" ht="12.75" customHeight="1">
      <c r="A56" s="1" t="s">
        <v>21</v>
      </c>
      <c r="B56" s="22">
        <v>2004</v>
      </c>
      <c r="C56" s="28" t="s">
        <v>3</v>
      </c>
      <c r="D56" s="27" t="s">
        <v>331</v>
      </c>
      <c r="E56" s="33"/>
      <c r="F56" s="90">
        <v>3.335</v>
      </c>
      <c r="G56" s="88"/>
      <c r="H56" s="139">
        <v>3367.049</v>
      </c>
      <c r="I56" s="59">
        <f>2901.633/F56</f>
        <v>870.054872563718</v>
      </c>
      <c r="J56" s="25"/>
      <c r="K56" s="25"/>
      <c r="L56" s="25"/>
      <c r="M56" s="25"/>
      <c r="N56" s="25"/>
      <c r="O56" s="25"/>
    </row>
    <row r="57" spans="1:15" s="24" customFormat="1" ht="12.75" customHeight="1">
      <c r="A57" s="1" t="s">
        <v>21</v>
      </c>
      <c r="B57" s="22">
        <v>2004</v>
      </c>
      <c r="C57" s="28" t="s">
        <v>444</v>
      </c>
      <c r="D57" s="27" t="s">
        <v>492</v>
      </c>
      <c r="E57" s="33"/>
      <c r="F57" s="90">
        <v>1.981</v>
      </c>
      <c r="G57" s="88"/>
      <c r="H57" s="139">
        <v>2290.937</v>
      </c>
      <c r="I57" s="59">
        <f>2232.585/F57</f>
        <v>1126.9989904088843</v>
      </c>
      <c r="J57" s="25"/>
      <c r="K57" s="25"/>
      <c r="L57" s="25"/>
      <c r="M57" s="25"/>
      <c r="N57" s="25"/>
      <c r="O57" s="25"/>
    </row>
    <row r="58" spans="1:15" s="24" customFormat="1" ht="12.75" customHeight="1">
      <c r="A58" s="1" t="s">
        <v>21</v>
      </c>
      <c r="B58" s="22">
        <v>2004</v>
      </c>
      <c r="C58" s="25"/>
      <c r="D58" s="24" t="s">
        <v>482</v>
      </c>
      <c r="E58" s="5"/>
      <c r="F58" s="26">
        <v>7.621</v>
      </c>
      <c r="G58" s="88"/>
      <c r="H58" s="139">
        <v>5671.769</v>
      </c>
      <c r="I58" s="59">
        <f>5936.21/F58</f>
        <v>778.9279622096838</v>
      </c>
      <c r="J58" s="25"/>
      <c r="K58" s="25"/>
      <c r="L58" s="25"/>
      <c r="M58" s="25"/>
      <c r="N58" s="25"/>
      <c r="O58" s="25"/>
    </row>
    <row r="59" spans="1:15" s="24" customFormat="1" ht="12.75" customHeight="1">
      <c r="A59" s="1"/>
      <c r="B59" s="22"/>
      <c r="C59" s="25"/>
      <c r="E59" s="5"/>
      <c r="F59" s="26"/>
      <c r="G59" s="88"/>
      <c r="H59" s="139"/>
      <c r="I59" s="59"/>
      <c r="J59" s="25"/>
      <c r="K59" s="25"/>
      <c r="L59" s="25"/>
      <c r="M59" s="25"/>
      <c r="N59" s="25"/>
      <c r="O59" s="25"/>
    </row>
    <row r="60" spans="1:15" s="24" customFormat="1" ht="3" customHeight="1">
      <c r="A60" s="1"/>
      <c r="B60" s="22"/>
      <c r="C60" s="25"/>
      <c r="E60" s="5"/>
      <c r="F60" s="26"/>
      <c r="G60" s="88"/>
      <c r="H60" s="139"/>
      <c r="I60" s="59"/>
      <c r="J60" s="25"/>
      <c r="K60" s="25"/>
      <c r="L60" s="25"/>
      <c r="M60" s="25"/>
      <c r="N60" s="25"/>
      <c r="O60" s="25"/>
    </row>
    <row r="61" spans="1:15" s="24" customFormat="1" ht="12.75" customHeight="1">
      <c r="A61" s="25" t="s">
        <v>94</v>
      </c>
      <c r="B61" s="22">
        <v>2003</v>
      </c>
      <c r="C61" s="22" t="s">
        <v>134</v>
      </c>
      <c r="D61" s="25" t="s">
        <v>42</v>
      </c>
      <c r="E61" s="25"/>
      <c r="F61" s="21">
        <v>1.94848059</v>
      </c>
      <c r="G61" s="83" t="s">
        <v>180</v>
      </c>
      <c r="H61" s="120">
        <v>713.186</v>
      </c>
      <c r="I61" s="19">
        <f aca="true" t="shared" si="2" ref="I61:I66">$H61/$F61</f>
        <v>366.02160866277865</v>
      </c>
      <c r="J61" s="25"/>
      <c r="K61" s="25"/>
      <c r="L61" s="25"/>
      <c r="M61" s="25"/>
      <c r="N61" s="25"/>
      <c r="O61" s="25"/>
    </row>
    <row r="62" spans="1:15" s="24" customFormat="1" ht="12.75" customHeight="1">
      <c r="A62" s="25" t="s">
        <v>94</v>
      </c>
      <c r="B62" s="22">
        <v>2003</v>
      </c>
      <c r="C62" s="22" t="s">
        <v>161</v>
      </c>
      <c r="D62" s="25"/>
      <c r="E62" s="25"/>
      <c r="F62" s="21">
        <v>1.1717566</v>
      </c>
      <c r="G62" s="83" t="s">
        <v>180</v>
      </c>
      <c r="H62" s="125">
        <v>351.077</v>
      </c>
      <c r="I62" s="19">
        <f t="shared" si="2"/>
        <v>299.61597826715894</v>
      </c>
      <c r="J62" s="25"/>
      <c r="K62" s="25"/>
      <c r="L62" s="25"/>
      <c r="M62" s="25"/>
      <c r="N62" s="25"/>
      <c r="O62" s="25"/>
    </row>
    <row r="63" spans="1:15" s="24" customFormat="1" ht="12.75" customHeight="1">
      <c r="A63" s="25" t="s">
        <v>94</v>
      </c>
      <c r="B63" s="22">
        <v>2003</v>
      </c>
      <c r="C63" s="22" t="s">
        <v>131</v>
      </c>
      <c r="E63" s="25"/>
      <c r="F63" s="21">
        <v>0.7703479699999999</v>
      </c>
      <c r="G63" s="83" t="s">
        <v>180</v>
      </c>
      <c r="H63" s="120">
        <v>349.216</v>
      </c>
      <c r="I63" s="19">
        <f t="shared" si="2"/>
        <v>453.3224122080831</v>
      </c>
      <c r="J63" s="25"/>
      <c r="K63" s="25"/>
      <c r="L63" s="25"/>
      <c r="M63" s="25"/>
      <c r="N63" s="25"/>
      <c r="O63" s="25"/>
    </row>
    <row r="64" spans="1:15" s="24" customFormat="1" ht="12.75" customHeight="1">
      <c r="A64" s="25" t="s">
        <v>94</v>
      </c>
      <c r="B64" s="22">
        <v>2003</v>
      </c>
      <c r="C64" s="22" t="s">
        <v>133</v>
      </c>
      <c r="D64" s="25"/>
      <c r="E64" s="25"/>
      <c r="F64" s="21">
        <v>0.20117580000000002</v>
      </c>
      <c r="G64" s="83" t="s">
        <v>181</v>
      </c>
      <c r="H64" s="120">
        <v>91.64</v>
      </c>
      <c r="I64" s="19">
        <f t="shared" si="2"/>
        <v>455.5219862428781</v>
      </c>
      <c r="J64" s="25"/>
      <c r="K64" s="25"/>
      <c r="L64" s="25"/>
      <c r="M64" s="25"/>
      <c r="N64" s="25"/>
      <c r="O64" s="25"/>
    </row>
    <row r="65" spans="1:15" s="24" customFormat="1" ht="12.75" customHeight="1">
      <c r="A65" s="25" t="s">
        <v>94</v>
      </c>
      <c r="B65" s="22">
        <v>2003</v>
      </c>
      <c r="C65" s="22" t="s">
        <v>160</v>
      </c>
      <c r="D65" s="25"/>
      <c r="E65" s="25"/>
      <c r="F65" s="21">
        <v>0.044521750000000006</v>
      </c>
      <c r="G65" s="83" t="s">
        <v>181</v>
      </c>
      <c r="H65" s="120">
        <v>49.682</v>
      </c>
      <c r="I65" s="19">
        <f t="shared" si="2"/>
        <v>1115.904024437494</v>
      </c>
      <c r="J65" s="25"/>
      <c r="K65" s="25"/>
      <c r="L65" s="25"/>
      <c r="M65" s="25"/>
      <c r="N65" s="25"/>
      <c r="O65" s="25"/>
    </row>
    <row r="66" spans="1:15" s="24" customFormat="1" ht="12.75" customHeight="1">
      <c r="A66" s="25" t="s">
        <v>94</v>
      </c>
      <c r="B66" s="22">
        <v>2003</v>
      </c>
      <c r="C66" s="22" t="s">
        <v>132</v>
      </c>
      <c r="D66" s="25"/>
      <c r="E66" s="25"/>
      <c r="F66" s="21">
        <v>0.02793</v>
      </c>
      <c r="G66" s="83" t="s">
        <v>181</v>
      </c>
      <c r="H66" s="125">
        <v>9.717</v>
      </c>
      <c r="I66" s="19">
        <f t="shared" si="2"/>
        <v>347.905477980666</v>
      </c>
      <c r="J66" s="25"/>
      <c r="K66" s="25"/>
      <c r="L66" s="25"/>
      <c r="M66" s="25"/>
      <c r="N66" s="25"/>
      <c r="O66" s="25"/>
    </row>
    <row r="67" spans="1:15" s="24" customFormat="1" ht="12.75" customHeight="1">
      <c r="A67" s="25"/>
      <c r="B67" s="22"/>
      <c r="C67" s="22"/>
      <c r="D67" s="25"/>
      <c r="E67" s="25"/>
      <c r="F67" s="21"/>
      <c r="G67" s="83"/>
      <c r="H67" s="120"/>
      <c r="I67" s="19"/>
      <c r="J67" s="25"/>
      <c r="K67" s="25"/>
      <c r="L67" s="25"/>
      <c r="M67" s="25"/>
      <c r="N67" s="25"/>
      <c r="O67" s="25"/>
    </row>
    <row r="68" spans="1:15" s="24" customFormat="1" ht="12.75" customHeight="1">
      <c r="A68" s="25" t="s">
        <v>94</v>
      </c>
      <c r="B68" s="22">
        <v>2004</v>
      </c>
      <c r="C68" s="22" t="s">
        <v>160</v>
      </c>
      <c r="D68" s="25" t="s">
        <v>42</v>
      </c>
      <c r="E68" s="25"/>
      <c r="F68" s="21">
        <v>0.05638801</v>
      </c>
      <c r="G68" s="83" t="s">
        <v>181</v>
      </c>
      <c r="H68" s="120">
        <v>44.778</v>
      </c>
      <c r="I68" s="19">
        <f>$H68/$F68</f>
        <v>794.1049879220777</v>
      </c>
      <c r="J68" s="25"/>
      <c r="K68" s="25"/>
      <c r="L68" s="25"/>
      <c r="M68" s="25"/>
      <c r="N68" s="25"/>
      <c r="O68" s="25"/>
    </row>
    <row r="69" spans="1:15" s="24" customFormat="1" ht="12.75" customHeight="1">
      <c r="A69" s="25" t="s">
        <v>94</v>
      </c>
      <c r="B69" s="22">
        <v>2004</v>
      </c>
      <c r="C69" s="22" t="s">
        <v>131</v>
      </c>
      <c r="E69" s="25"/>
      <c r="F69" s="21">
        <v>0.3695019300000001</v>
      </c>
      <c r="G69" s="83" t="s">
        <v>181</v>
      </c>
      <c r="H69" s="120">
        <v>187.581</v>
      </c>
      <c r="I69" s="19">
        <f>$H69/$F69</f>
        <v>507.6590533640784</v>
      </c>
      <c r="J69" s="25"/>
      <c r="K69" s="25"/>
      <c r="L69" s="25"/>
      <c r="M69" s="25"/>
      <c r="N69" s="25"/>
      <c r="O69" s="25"/>
    </row>
    <row r="70" spans="1:15" s="24" customFormat="1" ht="12.75" customHeight="1">
      <c r="A70" s="25" t="s">
        <v>94</v>
      </c>
      <c r="B70" s="22">
        <v>2004</v>
      </c>
      <c r="C70" s="22" t="s">
        <v>132</v>
      </c>
      <c r="D70" s="25"/>
      <c r="E70" s="25"/>
      <c r="F70" s="21">
        <v>0.19965029</v>
      </c>
      <c r="G70" s="83" t="s">
        <v>181</v>
      </c>
      <c r="H70" s="125">
        <v>138.046</v>
      </c>
      <c r="I70" s="19">
        <f>$H70/$F70</f>
        <v>691.4390156908862</v>
      </c>
      <c r="J70" s="25"/>
      <c r="K70" s="25"/>
      <c r="L70" s="25"/>
      <c r="M70" s="25"/>
      <c r="N70" s="25"/>
      <c r="O70" s="25"/>
    </row>
    <row r="71" spans="1:15" s="24" customFormat="1" ht="12.75" customHeight="1">
      <c r="A71" s="25" t="s">
        <v>94</v>
      </c>
      <c r="B71" s="22">
        <v>2004</v>
      </c>
      <c r="C71" s="22" t="s">
        <v>133</v>
      </c>
      <c r="D71" s="25"/>
      <c r="E71" s="25"/>
      <c r="F71" s="21">
        <v>0.03873492</v>
      </c>
      <c r="G71" s="83" t="s">
        <v>181</v>
      </c>
      <c r="H71" s="120">
        <v>48.679</v>
      </c>
      <c r="I71" s="19">
        <f>$H71/$F71</f>
        <v>1256.721325357068</v>
      </c>
      <c r="J71" s="25"/>
      <c r="K71" s="25"/>
      <c r="L71" s="25"/>
      <c r="M71" s="25"/>
      <c r="N71" s="25"/>
      <c r="O71" s="25"/>
    </row>
    <row r="72" spans="1:15" s="24" customFormat="1" ht="12.75" customHeight="1">
      <c r="A72" s="25" t="s">
        <v>94</v>
      </c>
      <c r="B72" s="22">
        <v>2004</v>
      </c>
      <c r="C72" s="22" t="s">
        <v>134</v>
      </c>
      <c r="D72" s="25"/>
      <c r="E72" s="25"/>
      <c r="F72" s="21">
        <v>0.32781175</v>
      </c>
      <c r="G72" s="83" t="s">
        <v>181</v>
      </c>
      <c r="H72" s="120">
        <v>221.938</v>
      </c>
      <c r="I72" s="19">
        <f>$H72/$F72</f>
        <v>677.0288130306494</v>
      </c>
      <c r="J72" s="25"/>
      <c r="K72" s="25"/>
      <c r="L72" s="25"/>
      <c r="M72" s="25"/>
      <c r="N72" s="25"/>
      <c r="O72" s="25"/>
    </row>
    <row r="73" spans="2:15" s="24" customFormat="1" ht="12.75" customHeight="1">
      <c r="B73" s="5"/>
      <c r="C73" s="55"/>
      <c r="D73" s="27"/>
      <c r="E73" s="36"/>
      <c r="F73" s="82"/>
      <c r="G73" s="93"/>
      <c r="H73" s="127"/>
      <c r="I73" s="46"/>
      <c r="J73" s="25"/>
      <c r="K73" s="25"/>
      <c r="L73" s="25"/>
      <c r="M73" s="25"/>
      <c r="N73" s="25"/>
      <c r="O73" s="25"/>
    </row>
    <row r="74" spans="1:15" s="24" customFormat="1" ht="12.75" customHeight="1">
      <c r="A74" s="24" t="s">
        <v>198</v>
      </c>
      <c r="B74" s="5">
        <v>2003</v>
      </c>
      <c r="C74" s="31" t="s">
        <v>5</v>
      </c>
      <c r="D74" s="27" t="s">
        <v>362</v>
      </c>
      <c r="E74" s="33"/>
      <c r="F74" s="90">
        <v>4.419</v>
      </c>
      <c r="G74" s="87"/>
      <c r="H74" s="128">
        <v>530</v>
      </c>
      <c r="I74" s="26">
        <f>$H74/$F74</f>
        <v>119.93663724824621</v>
      </c>
      <c r="J74" s="25"/>
      <c r="K74" s="25"/>
      <c r="L74" s="25"/>
      <c r="M74" s="25"/>
      <c r="N74" s="25"/>
      <c r="O74" s="25"/>
    </row>
    <row r="75" spans="2:15" s="24" customFormat="1" ht="12.75" customHeight="1">
      <c r="B75" s="5"/>
      <c r="E75" s="5"/>
      <c r="F75" s="26"/>
      <c r="G75" s="87"/>
      <c r="H75" s="128"/>
      <c r="I75" s="26"/>
      <c r="J75" s="25"/>
      <c r="K75" s="25"/>
      <c r="L75" s="25"/>
      <c r="M75" s="25"/>
      <c r="N75" s="25"/>
      <c r="O75" s="25"/>
    </row>
    <row r="76" spans="1:15" s="24" customFormat="1" ht="12.75" customHeight="1">
      <c r="A76" s="24" t="s">
        <v>198</v>
      </c>
      <c r="B76" s="5">
        <v>2004</v>
      </c>
      <c r="C76" s="31" t="s">
        <v>5</v>
      </c>
      <c r="D76" s="27" t="s">
        <v>362</v>
      </c>
      <c r="E76" s="33"/>
      <c r="F76" s="90">
        <v>1.123</v>
      </c>
      <c r="G76" s="87"/>
      <c r="H76" s="128">
        <v>650</v>
      </c>
      <c r="I76" s="26">
        <f>$H76/$F76</f>
        <v>578.806767586821</v>
      </c>
      <c r="J76" s="25"/>
      <c r="K76" s="25"/>
      <c r="L76" s="25"/>
      <c r="M76" s="25"/>
      <c r="N76" s="25"/>
      <c r="O76" s="25"/>
    </row>
    <row r="77" spans="2:15" s="24" customFormat="1" ht="12.75" customHeight="1">
      <c r="B77" s="5"/>
      <c r="E77" s="5"/>
      <c r="F77" s="26"/>
      <c r="G77" s="87"/>
      <c r="H77" s="128"/>
      <c r="I77" s="26"/>
      <c r="J77" s="25"/>
      <c r="K77" s="25"/>
      <c r="L77" s="25"/>
      <c r="M77" s="25"/>
      <c r="N77" s="25"/>
      <c r="O77" s="25"/>
    </row>
    <row r="78" spans="1:15" s="24" customFormat="1" ht="12.75" customHeight="1">
      <c r="A78" s="24" t="s">
        <v>24</v>
      </c>
      <c r="B78" s="5">
        <v>2003</v>
      </c>
      <c r="C78" s="9" t="s">
        <v>467</v>
      </c>
      <c r="D78" s="27" t="s">
        <v>366</v>
      </c>
      <c r="E78" s="36"/>
      <c r="F78" s="82">
        <v>3</v>
      </c>
      <c r="G78" s="87"/>
      <c r="H78" s="127">
        <v>1584</v>
      </c>
      <c r="I78" s="46">
        <f>$H78/$F78</f>
        <v>528</v>
      </c>
      <c r="J78" s="25"/>
      <c r="K78" s="25"/>
      <c r="L78" s="25"/>
      <c r="M78" s="25"/>
      <c r="N78" s="25"/>
      <c r="O78" s="25"/>
    </row>
    <row r="79" spans="1:15" s="24" customFormat="1" ht="12.75" customHeight="1">
      <c r="A79" s="24" t="s">
        <v>24</v>
      </c>
      <c r="B79" s="5">
        <v>2003</v>
      </c>
      <c r="C79" s="56"/>
      <c r="D79" s="27" t="s">
        <v>482</v>
      </c>
      <c r="E79" s="36"/>
      <c r="F79" s="82">
        <v>0</v>
      </c>
      <c r="G79" s="87" t="s">
        <v>10</v>
      </c>
      <c r="H79" s="256">
        <v>6</v>
      </c>
      <c r="I79" s="257" t="s">
        <v>71</v>
      </c>
      <c r="J79" s="25"/>
      <c r="K79" s="25"/>
      <c r="L79" s="25"/>
      <c r="M79" s="25"/>
      <c r="N79" s="25"/>
      <c r="O79" s="25"/>
    </row>
    <row r="80" spans="2:15" s="24" customFormat="1" ht="12.75" customHeight="1">
      <c r="B80" s="5"/>
      <c r="C80" s="56"/>
      <c r="D80" s="27"/>
      <c r="E80" s="36"/>
      <c r="F80" s="82"/>
      <c r="G80" s="87"/>
      <c r="H80" s="256"/>
      <c r="I80" s="257"/>
      <c r="J80" s="25"/>
      <c r="K80" s="25"/>
      <c r="L80" s="25"/>
      <c r="M80" s="25"/>
      <c r="N80" s="25"/>
      <c r="O80" s="25"/>
    </row>
    <row r="81" spans="1:15" s="24" customFormat="1" ht="12.75" customHeight="1">
      <c r="A81" s="24" t="s">
        <v>24</v>
      </c>
      <c r="B81" s="5">
        <v>2004</v>
      </c>
      <c r="C81" s="9" t="s">
        <v>467</v>
      </c>
      <c r="D81" s="27" t="s">
        <v>366</v>
      </c>
      <c r="E81" s="36"/>
      <c r="F81" s="82">
        <v>7</v>
      </c>
      <c r="G81" s="87"/>
      <c r="H81" s="127">
        <v>2900</v>
      </c>
      <c r="I81" s="46">
        <f>$H81/$F81</f>
        <v>414.2857142857143</v>
      </c>
      <c r="J81" s="25"/>
      <c r="K81" s="25"/>
      <c r="L81" s="25"/>
      <c r="M81" s="25"/>
      <c r="N81" s="25"/>
      <c r="O81" s="25"/>
    </row>
    <row r="82" spans="2:15" s="24" customFormat="1" ht="12.75" customHeight="1">
      <c r="B82" s="5"/>
      <c r="C82" s="56"/>
      <c r="D82" s="27"/>
      <c r="E82" s="36"/>
      <c r="F82" s="82"/>
      <c r="G82" s="87"/>
      <c r="H82" s="127"/>
      <c r="I82" s="46"/>
      <c r="J82" s="25"/>
      <c r="K82" s="25"/>
      <c r="L82" s="25"/>
      <c r="M82" s="25"/>
      <c r="N82" s="25"/>
      <c r="O82" s="25"/>
    </row>
    <row r="83" spans="1:15" s="24" customFormat="1" ht="12.75" customHeight="1">
      <c r="A83" s="24" t="s">
        <v>27</v>
      </c>
      <c r="B83" s="5">
        <v>2003</v>
      </c>
      <c r="C83" s="9" t="s">
        <v>208</v>
      </c>
      <c r="D83" s="27" t="s">
        <v>433</v>
      </c>
      <c r="E83" s="75"/>
      <c r="F83" s="82">
        <v>0.7872534470246734</v>
      </c>
      <c r="G83" s="88"/>
      <c r="H83" s="127">
        <v>1664.48685</v>
      </c>
      <c r="I83" s="46">
        <f aca="true" t="shared" si="3" ref="I83:I91">H83/F83</f>
        <v>2114.2960456898873</v>
      </c>
      <c r="J83" s="25"/>
      <c r="K83" s="25"/>
      <c r="L83" s="25"/>
      <c r="M83" s="25"/>
      <c r="N83" s="25"/>
      <c r="O83" s="25"/>
    </row>
    <row r="84" spans="1:15" s="24" customFormat="1" ht="12.75" customHeight="1">
      <c r="A84" s="24" t="s">
        <v>27</v>
      </c>
      <c r="B84" s="5">
        <v>2003</v>
      </c>
      <c r="C84" s="9" t="s">
        <v>206</v>
      </c>
      <c r="D84" s="27" t="s">
        <v>434</v>
      </c>
      <c r="E84" s="75"/>
      <c r="F84" s="82">
        <v>0.12637735849056603</v>
      </c>
      <c r="G84" s="87" t="s">
        <v>10</v>
      </c>
      <c r="H84" s="127">
        <v>45.73041</v>
      </c>
      <c r="I84" s="46">
        <f t="shared" si="3"/>
        <v>361.85603613018816</v>
      </c>
      <c r="J84" s="25"/>
      <c r="K84" s="25"/>
      <c r="L84" s="25"/>
      <c r="M84" s="25"/>
      <c r="N84" s="25"/>
      <c r="O84" s="25"/>
    </row>
    <row r="85" spans="1:15" s="24" customFormat="1" ht="12.75" customHeight="1">
      <c r="A85" s="24" t="s">
        <v>27</v>
      </c>
      <c r="B85" s="5">
        <v>2003</v>
      </c>
      <c r="C85" s="9" t="s">
        <v>205</v>
      </c>
      <c r="D85" s="27" t="s">
        <v>368</v>
      </c>
      <c r="E85" s="75"/>
      <c r="F85" s="82">
        <v>0.0768867924528302</v>
      </c>
      <c r="G85" s="87" t="s">
        <v>10</v>
      </c>
      <c r="H85" s="127">
        <v>100.86269</v>
      </c>
      <c r="I85" s="46">
        <f t="shared" si="3"/>
        <v>1311.8337595092023</v>
      </c>
      <c r="J85" s="25"/>
      <c r="K85" s="25"/>
      <c r="L85" s="25"/>
      <c r="M85" s="25"/>
      <c r="N85" s="25"/>
      <c r="O85" s="25"/>
    </row>
    <row r="86" spans="1:15" s="24" customFormat="1" ht="12.75" customHeight="1">
      <c r="A86" s="24" t="s">
        <v>27</v>
      </c>
      <c r="B86" s="5">
        <v>2003</v>
      </c>
      <c r="C86" s="9" t="s">
        <v>23</v>
      </c>
      <c r="D86" s="27" t="s">
        <v>423</v>
      </c>
      <c r="E86" s="75"/>
      <c r="F86" s="82">
        <v>0.05175707547169812</v>
      </c>
      <c r="G86" s="87" t="s">
        <v>10</v>
      </c>
      <c r="H86" s="127">
        <v>26.2145</v>
      </c>
      <c r="I86" s="46">
        <f t="shared" si="3"/>
        <v>506.49113693324216</v>
      </c>
      <c r="J86" s="25"/>
      <c r="K86" s="25"/>
      <c r="L86" s="25"/>
      <c r="M86" s="25"/>
      <c r="N86" s="25"/>
      <c r="O86" s="25"/>
    </row>
    <row r="87" spans="1:15" s="24" customFormat="1" ht="12.75" customHeight="1">
      <c r="A87" s="24" t="s">
        <v>27</v>
      </c>
      <c r="B87" s="5">
        <v>2003</v>
      </c>
      <c r="C87" s="9" t="s">
        <v>671</v>
      </c>
      <c r="D87" s="27" t="s">
        <v>672</v>
      </c>
      <c r="E87" s="75"/>
      <c r="F87" s="82">
        <v>0.04629716981132076</v>
      </c>
      <c r="G87" s="87" t="s">
        <v>10</v>
      </c>
      <c r="H87" s="127">
        <v>29.59282</v>
      </c>
      <c r="I87" s="46">
        <f t="shared" si="3"/>
        <v>639.192851757514</v>
      </c>
      <c r="J87" s="25"/>
      <c r="K87" s="25"/>
      <c r="L87" s="25"/>
      <c r="M87" s="25"/>
      <c r="N87" s="25"/>
      <c r="O87" s="25"/>
    </row>
    <row r="88" spans="1:15" s="24" customFormat="1" ht="12.75" customHeight="1">
      <c r="A88" s="24" t="s">
        <v>27</v>
      </c>
      <c r="B88" s="5">
        <v>2003</v>
      </c>
      <c r="C88" s="9" t="s">
        <v>204</v>
      </c>
      <c r="D88" s="27" t="s">
        <v>422</v>
      </c>
      <c r="E88" s="75"/>
      <c r="F88" s="82">
        <v>0.01408254716981132</v>
      </c>
      <c r="G88" s="87" t="s">
        <v>10</v>
      </c>
      <c r="H88" s="127">
        <v>24.99427</v>
      </c>
      <c r="I88" s="46">
        <f t="shared" si="3"/>
        <v>1774.8401406799533</v>
      </c>
      <c r="J88" s="25"/>
      <c r="K88" s="25"/>
      <c r="L88" s="25"/>
      <c r="M88" s="25"/>
      <c r="N88" s="25"/>
      <c r="O88" s="25"/>
    </row>
    <row r="89" spans="1:15" s="24" customFormat="1" ht="12.75" customHeight="1">
      <c r="A89" s="24" t="s">
        <v>27</v>
      </c>
      <c r="B89" s="5">
        <v>2003</v>
      </c>
      <c r="C89" s="9" t="s">
        <v>207</v>
      </c>
      <c r="D89" s="27" t="s">
        <v>317</v>
      </c>
      <c r="E89" s="75"/>
      <c r="F89" s="82">
        <v>0.01244575471698113</v>
      </c>
      <c r="G89" s="87" t="s">
        <v>10</v>
      </c>
      <c r="H89" s="127">
        <v>28.73478</v>
      </c>
      <c r="I89" s="46">
        <f t="shared" si="3"/>
        <v>2308.8017282546907</v>
      </c>
      <c r="J89" s="25"/>
      <c r="K89" s="25"/>
      <c r="L89" s="25"/>
      <c r="M89" s="25"/>
      <c r="N89" s="25"/>
      <c r="O89" s="25"/>
    </row>
    <row r="90" spans="1:15" s="24" customFormat="1" ht="12.75" customHeight="1">
      <c r="A90" s="24" t="s">
        <v>27</v>
      </c>
      <c r="B90" s="5">
        <v>2003</v>
      </c>
      <c r="C90" s="9" t="s">
        <v>661</v>
      </c>
      <c r="D90" s="27" t="s">
        <v>662</v>
      </c>
      <c r="E90" s="75"/>
      <c r="F90" s="82">
        <v>0.002745283018867925</v>
      </c>
      <c r="G90" s="87" t="s">
        <v>10</v>
      </c>
      <c r="H90" s="127">
        <v>28.16762</v>
      </c>
      <c r="I90" s="257" t="s">
        <v>71</v>
      </c>
      <c r="J90" s="25"/>
      <c r="K90" s="25"/>
      <c r="L90" s="25"/>
      <c r="M90" s="25"/>
      <c r="N90" s="25"/>
      <c r="O90" s="25"/>
    </row>
    <row r="91" spans="1:15" s="24" customFormat="1" ht="12.75" customHeight="1">
      <c r="A91" s="24" t="s">
        <v>27</v>
      </c>
      <c r="B91" s="5">
        <v>2003</v>
      </c>
      <c r="C91" s="25"/>
      <c r="D91" s="24" t="s">
        <v>482</v>
      </c>
      <c r="E91" s="25"/>
      <c r="F91" s="29">
        <v>0.060154571843251015</v>
      </c>
      <c r="G91" s="87" t="s">
        <v>10</v>
      </c>
      <c r="H91" s="127">
        <v>49.001059999999796</v>
      </c>
      <c r="I91" s="46">
        <f t="shared" si="3"/>
        <v>814.5857995246861</v>
      </c>
      <c r="J91" s="25"/>
      <c r="K91" s="25"/>
      <c r="L91" s="25"/>
      <c r="M91" s="25"/>
      <c r="N91" s="25"/>
      <c r="O91" s="25"/>
    </row>
    <row r="92" spans="1:15" s="24" customFormat="1" ht="12.75" customHeight="1">
      <c r="A92" s="25"/>
      <c r="B92" s="22"/>
      <c r="C92" s="25"/>
      <c r="D92" s="25"/>
      <c r="E92" s="25"/>
      <c r="F92" s="153"/>
      <c r="G92" s="88"/>
      <c r="H92" s="127"/>
      <c r="I92" s="26"/>
      <c r="J92" s="25"/>
      <c r="K92" s="25"/>
      <c r="L92" s="25"/>
      <c r="M92" s="25"/>
      <c r="N92" s="25"/>
      <c r="O92" s="25"/>
    </row>
    <row r="93" spans="1:15" s="24" customFormat="1" ht="12.75" customHeight="1">
      <c r="A93" s="24" t="s">
        <v>27</v>
      </c>
      <c r="B93" s="5">
        <v>2004</v>
      </c>
      <c r="C93" s="9" t="s">
        <v>204</v>
      </c>
      <c r="D93" s="27" t="s">
        <v>422</v>
      </c>
      <c r="E93" s="75"/>
      <c r="F93" s="82">
        <v>0.909</v>
      </c>
      <c r="G93" s="88"/>
      <c r="H93" s="127">
        <v>2023.383</v>
      </c>
      <c r="I93" s="46">
        <f aca="true" t="shared" si="4" ref="I93:I101">H93/F93</f>
        <v>2225.943894389439</v>
      </c>
      <c r="J93" s="25"/>
      <c r="K93" s="25"/>
      <c r="L93" s="25"/>
      <c r="M93" s="25"/>
      <c r="N93" s="25"/>
      <c r="O93" s="25"/>
    </row>
    <row r="94" spans="1:15" s="24" customFormat="1" ht="12.75" customHeight="1">
      <c r="A94" s="24" t="s">
        <v>27</v>
      </c>
      <c r="B94" s="5">
        <v>2004</v>
      </c>
      <c r="C94" s="9" t="s">
        <v>23</v>
      </c>
      <c r="D94" s="27" t="s">
        <v>423</v>
      </c>
      <c r="E94" s="75"/>
      <c r="F94" s="82">
        <v>0.033</v>
      </c>
      <c r="G94" s="87" t="s">
        <v>10</v>
      </c>
      <c r="H94" s="127">
        <v>53.223</v>
      </c>
      <c r="I94" s="46">
        <f t="shared" si="4"/>
        <v>1612.8181818181818</v>
      </c>
      <c r="J94" s="25"/>
      <c r="K94" s="25"/>
      <c r="L94" s="25"/>
      <c r="M94" s="25"/>
      <c r="N94" s="25"/>
      <c r="O94" s="25"/>
    </row>
    <row r="95" spans="1:15" s="24" customFormat="1" ht="12.75" customHeight="1">
      <c r="A95" s="24" t="s">
        <v>27</v>
      </c>
      <c r="B95" s="5">
        <v>2004</v>
      </c>
      <c r="C95" s="9" t="s">
        <v>205</v>
      </c>
      <c r="D95" s="27" t="s">
        <v>368</v>
      </c>
      <c r="E95" s="75"/>
      <c r="F95" s="82">
        <v>0.028</v>
      </c>
      <c r="G95" s="87" t="s">
        <v>10</v>
      </c>
      <c r="H95" s="127">
        <v>24.53</v>
      </c>
      <c r="I95" s="46">
        <f t="shared" si="4"/>
        <v>876.0714285714286</v>
      </c>
      <c r="J95" s="25"/>
      <c r="K95" s="25"/>
      <c r="L95" s="25"/>
      <c r="M95" s="25"/>
      <c r="N95" s="25"/>
      <c r="O95" s="25"/>
    </row>
    <row r="96" spans="1:15" s="24" customFormat="1" ht="12.75" customHeight="1">
      <c r="A96" s="24" t="s">
        <v>27</v>
      </c>
      <c r="B96" s="5">
        <v>2004</v>
      </c>
      <c r="C96" s="9" t="s">
        <v>207</v>
      </c>
      <c r="D96" s="27" t="s">
        <v>317</v>
      </c>
      <c r="E96" s="75"/>
      <c r="F96" s="82">
        <v>0.024</v>
      </c>
      <c r="G96" s="87" t="s">
        <v>10</v>
      </c>
      <c r="H96" s="127">
        <v>29.353</v>
      </c>
      <c r="I96" s="46">
        <f t="shared" si="4"/>
        <v>1223.0416666666667</v>
      </c>
      <c r="J96" s="25"/>
      <c r="K96" s="25"/>
      <c r="L96" s="25"/>
      <c r="M96" s="25"/>
      <c r="N96" s="25"/>
      <c r="O96" s="25"/>
    </row>
    <row r="97" spans="1:15" s="24" customFormat="1" ht="12.75" customHeight="1">
      <c r="A97" s="24" t="s">
        <v>27</v>
      </c>
      <c r="B97" s="5">
        <v>2004</v>
      </c>
      <c r="C97" s="9" t="s">
        <v>208</v>
      </c>
      <c r="D97" s="27" t="s">
        <v>433</v>
      </c>
      <c r="E97" s="75"/>
      <c r="F97" s="82">
        <v>0.017</v>
      </c>
      <c r="G97" s="87" t="s">
        <v>10</v>
      </c>
      <c r="H97" s="127">
        <v>40.493</v>
      </c>
      <c r="I97" s="46">
        <f t="shared" si="4"/>
        <v>2381.9411764705883</v>
      </c>
      <c r="J97" s="25"/>
      <c r="K97" s="25"/>
      <c r="L97" s="25"/>
      <c r="M97" s="25"/>
      <c r="N97" s="25"/>
      <c r="O97" s="25"/>
    </row>
    <row r="98" spans="1:15" s="24" customFormat="1" ht="12.75" customHeight="1">
      <c r="A98" s="24" t="s">
        <v>27</v>
      </c>
      <c r="B98" s="5">
        <v>2004</v>
      </c>
      <c r="C98" s="9" t="s">
        <v>671</v>
      </c>
      <c r="D98" s="27" t="s">
        <v>672</v>
      </c>
      <c r="E98" s="75"/>
      <c r="F98" s="82">
        <v>0.015</v>
      </c>
      <c r="G98" s="87" t="s">
        <v>10</v>
      </c>
      <c r="H98" s="127">
        <v>52.842</v>
      </c>
      <c r="I98" s="46">
        <f t="shared" si="4"/>
        <v>3522.8</v>
      </c>
      <c r="J98" s="25"/>
      <c r="K98" s="25"/>
      <c r="L98" s="25"/>
      <c r="M98" s="25"/>
      <c r="N98" s="25"/>
      <c r="O98" s="25"/>
    </row>
    <row r="99" spans="1:15" s="24" customFormat="1" ht="12.75" customHeight="1">
      <c r="A99" s="24" t="s">
        <v>27</v>
      </c>
      <c r="B99" s="5">
        <v>2004</v>
      </c>
      <c r="C99" s="9" t="s">
        <v>661</v>
      </c>
      <c r="D99" s="27" t="s">
        <v>662</v>
      </c>
      <c r="E99" s="75"/>
      <c r="F99" s="82">
        <v>0.01</v>
      </c>
      <c r="G99" s="87" t="s">
        <v>10</v>
      </c>
      <c r="H99" s="127">
        <v>11.673</v>
      </c>
      <c r="I99" s="46">
        <f t="shared" si="4"/>
        <v>1167.3</v>
      </c>
      <c r="J99" s="25"/>
      <c r="K99" s="25"/>
      <c r="L99" s="25"/>
      <c r="M99" s="25"/>
      <c r="N99" s="25"/>
      <c r="O99" s="25"/>
    </row>
    <row r="100" spans="1:15" s="24" customFormat="1" ht="12.75" customHeight="1">
      <c r="A100" s="24" t="s">
        <v>27</v>
      </c>
      <c r="B100" s="5">
        <v>2004</v>
      </c>
      <c r="C100" s="9" t="s">
        <v>206</v>
      </c>
      <c r="D100" s="27" t="s">
        <v>434</v>
      </c>
      <c r="E100" s="75"/>
      <c r="F100" s="82">
        <v>0.008</v>
      </c>
      <c r="G100" s="87" t="s">
        <v>10</v>
      </c>
      <c r="H100" s="127">
        <v>99.393</v>
      </c>
      <c r="I100" s="257" t="s">
        <v>71</v>
      </c>
      <c r="J100" s="25"/>
      <c r="K100" s="25"/>
      <c r="L100" s="25"/>
      <c r="M100" s="25"/>
      <c r="N100" s="25"/>
      <c r="O100" s="25"/>
    </row>
    <row r="101" spans="1:15" s="24" customFormat="1" ht="12.75" customHeight="1">
      <c r="A101" s="24" t="s">
        <v>27</v>
      </c>
      <c r="B101" s="5">
        <v>2004</v>
      </c>
      <c r="C101" s="25"/>
      <c r="D101" s="24" t="s">
        <v>482</v>
      </c>
      <c r="E101" s="25"/>
      <c r="F101" s="29">
        <v>0.023</v>
      </c>
      <c r="G101" s="87" t="s">
        <v>10</v>
      </c>
      <c r="H101" s="127">
        <v>71.451</v>
      </c>
      <c r="I101" s="46">
        <f t="shared" si="4"/>
        <v>3106.565217391304</v>
      </c>
      <c r="J101" s="25"/>
      <c r="K101" s="25"/>
      <c r="L101" s="25"/>
      <c r="M101" s="25"/>
      <c r="N101" s="25"/>
      <c r="O101" s="25"/>
    </row>
    <row r="102" spans="1:15" s="24" customFormat="1" ht="12.75" customHeight="1">
      <c r="A102" s="25"/>
      <c r="B102" s="22"/>
      <c r="C102" s="25"/>
      <c r="D102" s="25"/>
      <c r="E102" s="25"/>
      <c r="F102" s="153"/>
      <c r="G102" s="88"/>
      <c r="H102" s="128"/>
      <c r="I102" s="26"/>
      <c r="J102" s="25"/>
      <c r="K102" s="25"/>
      <c r="L102" s="25"/>
      <c r="M102" s="25"/>
      <c r="N102" s="25"/>
      <c r="O102" s="25"/>
    </row>
    <row r="103" spans="1:15" s="24" customFormat="1" ht="12.75" customHeight="1">
      <c r="A103" s="25" t="s">
        <v>294</v>
      </c>
      <c r="B103" s="22">
        <v>2003</v>
      </c>
      <c r="C103" s="9" t="s">
        <v>467</v>
      </c>
      <c r="D103" s="10" t="s">
        <v>384</v>
      </c>
      <c r="E103" s="75"/>
      <c r="F103" s="84">
        <v>0.028</v>
      </c>
      <c r="G103" s="88" t="s">
        <v>307</v>
      </c>
      <c r="H103" s="128">
        <v>121.733</v>
      </c>
      <c r="I103" s="26">
        <f>$H103/$F103</f>
        <v>4347.607142857143</v>
      </c>
      <c r="J103" s="25"/>
      <c r="K103" s="25"/>
      <c r="L103" s="25"/>
      <c r="M103" s="25"/>
      <c r="N103" s="25"/>
      <c r="O103" s="25"/>
    </row>
    <row r="104" spans="1:15" s="24" customFormat="1" ht="12.75" customHeight="1">
      <c r="A104" s="25" t="s">
        <v>294</v>
      </c>
      <c r="B104" s="22">
        <v>2003</v>
      </c>
      <c r="C104" s="25" t="s">
        <v>167</v>
      </c>
      <c r="D104" s="25" t="s">
        <v>42</v>
      </c>
      <c r="E104" s="25"/>
      <c r="F104" s="67">
        <v>0</v>
      </c>
      <c r="G104" s="88" t="s">
        <v>307</v>
      </c>
      <c r="H104" s="128">
        <v>3389.171</v>
      </c>
      <c r="I104" s="59" t="s">
        <v>71</v>
      </c>
      <c r="J104" s="25"/>
      <c r="K104" s="25"/>
      <c r="L104" s="25"/>
      <c r="M104" s="25"/>
      <c r="N104" s="25"/>
      <c r="O104" s="25"/>
    </row>
    <row r="105" spans="1:15" s="24" customFormat="1" ht="12.75" customHeight="1">
      <c r="A105" s="25" t="s">
        <v>294</v>
      </c>
      <c r="B105" s="22">
        <v>2003</v>
      </c>
      <c r="C105" s="25" t="s">
        <v>299</v>
      </c>
      <c r="E105" s="25"/>
      <c r="F105" s="67">
        <f>16.534/1000</f>
        <v>0.016534</v>
      </c>
      <c r="G105" s="88" t="s">
        <v>307</v>
      </c>
      <c r="H105" s="128">
        <v>42.598</v>
      </c>
      <c r="I105" s="26">
        <f>$H105/$F105</f>
        <v>2576.388048868997</v>
      </c>
      <c r="J105" s="25"/>
      <c r="K105" s="25"/>
      <c r="L105" s="25"/>
      <c r="M105" s="25"/>
      <c r="N105" s="25"/>
      <c r="O105" s="25"/>
    </row>
    <row r="106" spans="1:15" s="24" customFormat="1" ht="12.75" customHeight="1">
      <c r="A106" s="25"/>
      <c r="B106" s="22"/>
      <c r="C106" s="25"/>
      <c r="E106" s="25"/>
      <c r="F106" s="67"/>
      <c r="G106" s="88"/>
      <c r="H106" s="128"/>
      <c r="I106" s="26"/>
      <c r="J106" s="25"/>
      <c r="K106" s="25"/>
      <c r="L106" s="25"/>
      <c r="M106" s="25"/>
      <c r="N106" s="25"/>
      <c r="O106" s="25"/>
    </row>
    <row r="107" spans="1:15" s="24" customFormat="1" ht="12.75" customHeight="1">
      <c r="A107" s="25" t="s">
        <v>294</v>
      </c>
      <c r="B107" s="22">
        <v>2004</v>
      </c>
      <c r="C107" s="9" t="s">
        <v>467</v>
      </c>
      <c r="D107" s="10" t="s">
        <v>384</v>
      </c>
      <c r="E107" s="75"/>
      <c r="F107" s="84">
        <v>0.089</v>
      </c>
      <c r="G107" s="88" t="s">
        <v>10</v>
      </c>
      <c r="H107" s="128">
        <v>0</v>
      </c>
      <c r="I107" s="59" t="s">
        <v>71</v>
      </c>
      <c r="J107" s="25"/>
      <c r="K107" s="25"/>
      <c r="L107" s="25"/>
      <c r="M107" s="25"/>
      <c r="N107" s="25"/>
      <c r="O107" s="25"/>
    </row>
    <row r="108" spans="1:15" s="24" customFormat="1" ht="12.75" customHeight="1">
      <c r="A108" s="25" t="s">
        <v>294</v>
      </c>
      <c r="B108" s="22">
        <v>2004</v>
      </c>
      <c r="C108" s="25" t="s">
        <v>167</v>
      </c>
      <c r="D108" s="25" t="s">
        <v>42</v>
      </c>
      <c r="E108" s="25"/>
      <c r="F108" s="67">
        <v>0</v>
      </c>
      <c r="G108" s="88" t="s">
        <v>307</v>
      </c>
      <c r="H108" s="128">
        <v>4018.675</v>
      </c>
      <c r="I108" s="59" t="s">
        <v>71</v>
      </c>
      <c r="J108" s="25"/>
      <c r="K108" s="25"/>
      <c r="L108" s="25"/>
      <c r="M108" s="25"/>
      <c r="N108" s="25"/>
      <c r="O108" s="25"/>
    </row>
    <row r="109" spans="1:15" s="24" customFormat="1" ht="12.75" customHeight="1">
      <c r="A109" s="25" t="s">
        <v>294</v>
      </c>
      <c r="B109" s="22">
        <v>2004</v>
      </c>
      <c r="C109" s="25" t="s">
        <v>299</v>
      </c>
      <c r="E109" s="25"/>
      <c r="F109" s="67">
        <f>0.026*10</f>
        <v>0.26</v>
      </c>
      <c r="G109" s="88" t="s">
        <v>307</v>
      </c>
      <c r="H109" s="128">
        <v>765.973</v>
      </c>
      <c r="I109" s="26">
        <f>$H109/$F109</f>
        <v>2946.0499999999997</v>
      </c>
      <c r="J109" s="25"/>
      <c r="K109" s="25"/>
      <c r="L109" s="25"/>
      <c r="M109" s="25"/>
      <c r="N109" s="25"/>
      <c r="O109" s="25"/>
    </row>
    <row r="110" spans="1:15" s="175" customFormat="1" ht="12.75" customHeight="1">
      <c r="A110" s="180"/>
      <c r="B110" s="166"/>
      <c r="C110" s="180"/>
      <c r="D110" s="180"/>
      <c r="E110" s="180"/>
      <c r="F110" s="201"/>
      <c r="G110" s="162"/>
      <c r="H110" s="161"/>
      <c r="I110" s="159"/>
      <c r="J110" s="165"/>
      <c r="K110" s="165"/>
      <c r="L110" s="165"/>
      <c r="M110" s="165"/>
      <c r="N110" s="165"/>
      <c r="O110" s="165"/>
    </row>
    <row r="111" spans="1:15" s="175" customFormat="1" ht="3" customHeight="1">
      <c r="A111" s="180"/>
      <c r="B111" s="166"/>
      <c r="C111" s="180"/>
      <c r="D111" s="180"/>
      <c r="E111" s="180"/>
      <c r="F111" s="201"/>
      <c r="G111" s="162"/>
      <c r="H111" s="161"/>
      <c r="I111" s="159"/>
      <c r="J111" s="165"/>
      <c r="K111" s="165"/>
      <c r="L111" s="165"/>
      <c r="M111" s="165"/>
      <c r="N111" s="165"/>
      <c r="O111" s="165"/>
    </row>
    <row r="112" spans="1:9" ht="12.75" customHeight="1">
      <c r="A112" s="8" t="s">
        <v>67</v>
      </c>
      <c r="B112" s="5">
        <v>2004</v>
      </c>
      <c r="D112" s="11" t="s">
        <v>482</v>
      </c>
      <c r="E112" s="11"/>
      <c r="F112" s="35">
        <v>0.002</v>
      </c>
      <c r="G112" s="87" t="s">
        <v>10</v>
      </c>
      <c r="H112" s="138">
        <v>6.798</v>
      </c>
      <c r="I112" s="14">
        <f>$H112/$F112</f>
        <v>3399</v>
      </c>
    </row>
    <row r="113" spans="1:9" ht="12.75" customHeight="1">
      <c r="A113" s="25"/>
      <c r="B113" s="22"/>
      <c r="C113" s="55"/>
      <c r="D113" s="75"/>
      <c r="E113" s="10"/>
      <c r="F113" s="154"/>
      <c r="G113" s="88"/>
      <c r="H113" s="128"/>
      <c r="I113" s="26"/>
    </row>
    <row r="114" spans="1:9" ht="12.75" customHeight="1">
      <c r="A114" s="8" t="s">
        <v>562</v>
      </c>
      <c r="B114" s="22">
        <v>2003</v>
      </c>
      <c r="C114" s="22" t="s">
        <v>581</v>
      </c>
      <c r="D114" s="8" t="s">
        <v>42</v>
      </c>
      <c r="E114" s="8"/>
      <c r="F114" s="19">
        <v>6</v>
      </c>
      <c r="G114" s="79"/>
      <c r="H114" s="120">
        <v>3045.4864035400756</v>
      </c>
      <c r="I114" s="14">
        <f>$H114/$F114</f>
        <v>507.58106725667926</v>
      </c>
    </row>
    <row r="115" spans="1:9" ht="12.75" customHeight="1">
      <c r="A115" s="8" t="s">
        <v>562</v>
      </c>
      <c r="B115" s="22">
        <v>2003</v>
      </c>
      <c r="C115" s="22" t="s">
        <v>580</v>
      </c>
      <c r="D115" s="8"/>
      <c r="E115" s="8"/>
      <c r="F115" s="19">
        <v>0.008</v>
      </c>
      <c r="G115" s="79" t="s">
        <v>10</v>
      </c>
      <c r="H115" s="120">
        <v>14.124616372849903</v>
      </c>
      <c r="I115" s="14">
        <f>$H115/$F115</f>
        <v>1765.577046606238</v>
      </c>
    </row>
    <row r="116" spans="1:9" ht="12.75" customHeight="1">
      <c r="A116" s="8"/>
      <c r="B116" s="22"/>
      <c r="C116" s="8"/>
      <c r="D116" s="8"/>
      <c r="E116" s="8"/>
      <c r="F116" s="19"/>
      <c r="G116" s="79"/>
      <c r="H116" s="120"/>
      <c r="I116" s="19"/>
    </row>
    <row r="117" spans="1:9" ht="12.75" customHeight="1">
      <c r="A117" s="8" t="s">
        <v>562</v>
      </c>
      <c r="B117" s="22">
        <v>2004</v>
      </c>
      <c r="C117" s="22" t="s">
        <v>581</v>
      </c>
      <c r="D117" s="8" t="s">
        <v>42</v>
      </c>
      <c r="E117" s="8"/>
      <c r="F117" s="19">
        <v>1</v>
      </c>
      <c r="G117" s="79"/>
      <c r="H117" s="120">
        <v>3455.2744043043813</v>
      </c>
      <c r="I117" s="47">
        <f>$H117/$F117</f>
        <v>3455.2744043043813</v>
      </c>
    </row>
    <row r="118" spans="1:9" ht="12.75" customHeight="1">
      <c r="A118" s="8" t="s">
        <v>562</v>
      </c>
      <c r="B118" s="22">
        <v>2004</v>
      </c>
      <c r="C118" s="22" t="s">
        <v>580</v>
      </c>
      <c r="D118" s="8"/>
      <c r="E118" s="8"/>
      <c r="F118" s="19">
        <v>0.058</v>
      </c>
      <c r="G118" s="79" t="s">
        <v>10</v>
      </c>
      <c r="H118" s="120">
        <v>59.933128362797845</v>
      </c>
      <c r="I118" s="47">
        <f>$H118/$F118</f>
        <v>1033.3297993585834</v>
      </c>
    </row>
    <row r="119" spans="1:9" ht="12.75" customHeight="1">
      <c r="A119" s="8" t="s">
        <v>562</v>
      </c>
      <c r="B119" s="22">
        <v>2004</v>
      </c>
      <c r="C119" s="22" t="s">
        <v>572</v>
      </c>
      <c r="D119" s="1"/>
      <c r="E119" s="8"/>
      <c r="F119" s="19">
        <v>0.013</v>
      </c>
      <c r="G119" s="79" t="s">
        <v>10</v>
      </c>
      <c r="H119" s="120">
        <v>21.701767870868565</v>
      </c>
      <c r="I119" s="47">
        <f>$H119/$F119</f>
        <v>1669.366759297582</v>
      </c>
    </row>
    <row r="120" spans="1:9" ht="12.75" customHeight="1">
      <c r="A120" s="25"/>
      <c r="B120" s="22"/>
      <c r="C120" s="55"/>
      <c r="D120" s="75"/>
      <c r="E120" s="10"/>
      <c r="F120" s="154"/>
      <c r="G120" s="88"/>
      <c r="H120" s="128"/>
      <c r="I120" s="26"/>
    </row>
    <row r="121" spans="1:9" ht="3" customHeight="1">
      <c r="A121" s="25"/>
      <c r="B121" s="22"/>
      <c r="C121" s="55"/>
      <c r="D121" s="75"/>
      <c r="E121" s="10"/>
      <c r="F121" s="154"/>
      <c r="G121" s="88"/>
      <c r="H121" s="128"/>
      <c r="I121" s="26"/>
    </row>
    <row r="122" spans="1:12" ht="12.75" customHeight="1">
      <c r="A122" s="41" t="s">
        <v>30</v>
      </c>
      <c r="B122" s="33"/>
      <c r="C122" s="4"/>
      <c r="D122" s="1"/>
      <c r="E122" s="5"/>
      <c r="L122" s="79"/>
    </row>
    <row r="123" spans="1:12" ht="3" customHeight="1">
      <c r="A123" s="50"/>
      <c r="E123" s="33"/>
      <c r="F123" s="35"/>
      <c r="H123" s="139"/>
      <c r="I123" s="59"/>
      <c r="L123" s="79"/>
    </row>
    <row r="124" spans="1:12" ht="12.75" customHeight="1">
      <c r="A124" s="48" t="s">
        <v>88</v>
      </c>
      <c r="B124" s="22">
        <v>2003</v>
      </c>
      <c r="C124" s="55" t="s">
        <v>9</v>
      </c>
      <c r="D124" s="10" t="s">
        <v>332</v>
      </c>
      <c r="E124" s="242"/>
      <c r="F124" s="249"/>
      <c r="G124" s="294"/>
      <c r="H124" s="295"/>
      <c r="I124" s="296"/>
      <c r="L124" s="79"/>
    </row>
    <row r="125" spans="1:15" s="24" customFormat="1" ht="12.75" customHeight="1">
      <c r="A125" s="48" t="s">
        <v>88</v>
      </c>
      <c r="B125" s="22">
        <v>2003</v>
      </c>
      <c r="C125" s="55" t="s">
        <v>479</v>
      </c>
      <c r="D125" s="10" t="s">
        <v>374</v>
      </c>
      <c r="E125" s="243"/>
      <c r="F125" s="249">
        <v>0.151</v>
      </c>
      <c r="G125" s="294" t="s">
        <v>10</v>
      </c>
      <c r="H125" s="295">
        <f>1.825*1000/6.588</f>
        <v>277.0188221007893</v>
      </c>
      <c r="I125" s="296">
        <f>$H125/$F125</f>
        <v>1834.5617357668166</v>
      </c>
      <c r="J125" s="25"/>
      <c r="K125" s="25"/>
      <c r="L125" s="83"/>
      <c r="M125" s="25"/>
      <c r="N125" s="25"/>
      <c r="O125" s="25"/>
    </row>
    <row r="126" spans="1:12" s="8" customFormat="1" ht="12.75" customHeight="1">
      <c r="A126" s="48" t="s">
        <v>88</v>
      </c>
      <c r="B126" s="22">
        <v>2003</v>
      </c>
      <c r="C126" s="55" t="s">
        <v>284</v>
      </c>
      <c r="D126" s="10"/>
      <c r="E126" s="244"/>
      <c r="F126" s="35"/>
      <c r="G126" s="86"/>
      <c r="H126" s="139"/>
      <c r="I126" s="59"/>
      <c r="L126" s="79"/>
    </row>
    <row r="127" spans="1:12" s="165" customFormat="1" ht="3" customHeight="1">
      <c r="A127" s="219"/>
      <c r="B127" s="166"/>
      <c r="F127" s="176"/>
      <c r="G127" s="160"/>
      <c r="H127" s="178"/>
      <c r="I127" s="179"/>
      <c r="L127" s="173"/>
    </row>
    <row r="128" spans="1:12" s="8" customFormat="1" ht="12.75" customHeight="1">
      <c r="A128" s="48" t="s">
        <v>88</v>
      </c>
      <c r="B128" s="22">
        <v>2003</v>
      </c>
      <c r="C128" s="55" t="s">
        <v>64</v>
      </c>
      <c r="D128" s="10" t="s">
        <v>355</v>
      </c>
      <c r="E128" s="242"/>
      <c r="F128" s="345">
        <v>0.118</v>
      </c>
      <c r="G128" s="332" t="s">
        <v>10</v>
      </c>
      <c r="H128" s="354">
        <f>0.061*1000/6.588</f>
        <v>9.25925925925926</v>
      </c>
      <c r="I128" s="349">
        <f>$H128/$F128</f>
        <v>78.46829880728187</v>
      </c>
      <c r="L128" s="79"/>
    </row>
    <row r="129" spans="1:12" s="8" customFormat="1" ht="12.75" customHeight="1">
      <c r="A129" s="48" t="s">
        <v>88</v>
      </c>
      <c r="B129" s="22">
        <v>2003</v>
      </c>
      <c r="C129" s="55" t="s">
        <v>14</v>
      </c>
      <c r="D129" s="10" t="s">
        <v>345</v>
      </c>
      <c r="E129" s="244"/>
      <c r="F129" s="345"/>
      <c r="G129" s="332"/>
      <c r="H129" s="354"/>
      <c r="I129" s="349" t="e">
        <f>$H129/$F129</f>
        <v>#DIV/0!</v>
      </c>
      <c r="L129" s="79"/>
    </row>
    <row r="130" spans="1:12" s="165" customFormat="1" ht="3" customHeight="1">
      <c r="A130" s="217"/>
      <c r="B130" s="166"/>
      <c r="C130" s="185"/>
      <c r="F130" s="189"/>
      <c r="G130" s="205"/>
      <c r="H130" s="182"/>
      <c r="I130" s="190"/>
      <c r="L130" s="173"/>
    </row>
    <row r="131" spans="1:15" s="24" customFormat="1" ht="12.75" customHeight="1">
      <c r="A131" s="48" t="s">
        <v>88</v>
      </c>
      <c r="B131" s="22">
        <v>2003</v>
      </c>
      <c r="C131" s="55"/>
      <c r="D131" s="10" t="s">
        <v>482</v>
      </c>
      <c r="E131" s="10"/>
      <c r="F131" s="35">
        <v>0.682</v>
      </c>
      <c r="G131" s="86"/>
      <c r="H131" s="139">
        <f>19.879*1000/6.588</f>
        <v>3017.4559805707345</v>
      </c>
      <c r="I131" s="59">
        <f>$H131/$F131</f>
        <v>4424.42225890137</v>
      </c>
      <c r="J131" s="25"/>
      <c r="K131" s="25"/>
      <c r="L131" s="25"/>
      <c r="M131" s="25"/>
      <c r="N131" s="25"/>
      <c r="O131" s="25"/>
    </row>
    <row r="132" spans="1:12" s="8" customFormat="1" ht="12.75" customHeight="1">
      <c r="A132" s="50"/>
      <c r="B132" s="5"/>
      <c r="C132" s="3"/>
      <c r="D132" s="11"/>
      <c r="E132" s="33"/>
      <c r="F132" s="35"/>
      <c r="G132" s="86"/>
      <c r="H132" s="139"/>
      <c r="I132" s="59"/>
      <c r="L132" s="79"/>
    </row>
    <row r="133" spans="1:12" s="8" customFormat="1" ht="12.75" customHeight="1">
      <c r="A133" s="48" t="s">
        <v>88</v>
      </c>
      <c r="B133" s="22">
        <v>2004</v>
      </c>
      <c r="C133" s="55" t="s">
        <v>9</v>
      </c>
      <c r="D133" s="10" t="s">
        <v>332</v>
      </c>
      <c r="E133" s="242"/>
      <c r="F133" s="249"/>
      <c r="G133" s="294"/>
      <c r="H133" s="295"/>
      <c r="I133" s="296"/>
      <c r="L133" s="79"/>
    </row>
    <row r="134" spans="1:12" s="8" customFormat="1" ht="12.75" customHeight="1">
      <c r="A134" s="48" t="s">
        <v>88</v>
      </c>
      <c r="B134" s="22">
        <v>2004</v>
      </c>
      <c r="C134" s="55" t="s">
        <v>479</v>
      </c>
      <c r="D134" s="10" t="s">
        <v>374</v>
      </c>
      <c r="E134" s="243"/>
      <c r="F134" s="249">
        <v>0.551</v>
      </c>
      <c r="G134" s="294"/>
      <c r="H134" s="295">
        <f>5.911*1000/5.991</f>
        <v>986.6466366215991</v>
      </c>
      <c r="I134" s="296">
        <f>$H134/$F134</f>
        <v>1790.6472533967315</v>
      </c>
      <c r="L134" s="79"/>
    </row>
    <row r="135" spans="1:12" s="8" customFormat="1" ht="12.75" customHeight="1">
      <c r="A135" s="48" t="s">
        <v>88</v>
      </c>
      <c r="B135" s="22">
        <v>2004</v>
      </c>
      <c r="C135" s="55" t="s">
        <v>284</v>
      </c>
      <c r="D135" s="10"/>
      <c r="E135" s="244"/>
      <c r="F135" s="35"/>
      <c r="G135" s="86"/>
      <c r="H135" s="139"/>
      <c r="I135" s="59"/>
      <c r="L135" s="79"/>
    </row>
    <row r="136" spans="1:15" s="24" customFormat="1" ht="3" customHeight="1">
      <c r="A136" s="219"/>
      <c r="B136" s="166"/>
      <c r="C136" s="165"/>
      <c r="D136" s="165"/>
      <c r="E136" s="165"/>
      <c r="F136" s="176"/>
      <c r="G136" s="160"/>
      <c r="H136" s="178"/>
      <c r="I136" s="179"/>
      <c r="J136" s="25"/>
      <c r="K136" s="25"/>
      <c r="L136" s="83"/>
      <c r="M136" s="25"/>
      <c r="N136" s="25"/>
      <c r="O136" s="25"/>
    </row>
    <row r="137" spans="1:12" s="8" customFormat="1" ht="12.75" customHeight="1">
      <c r="A137" s="48" t="s">
        <v>88</v>
      </c>
      <c r="B137" s="22">
        <v>2004</v>
      </c>
      <c r="C137" s="55" t="s">
        <v>64</v>
      </c>
      <c r="D137" s="10" t="s">
        <v>355</v>
      </c>
      <c r="E137" s="242"/>
      <c r="F137" s="345">
        <v>0.086</v>
      </c>
      <c r="G137" s="332" t="s">
        <v>10</v>
      </c>
      <c r="H137" s="354">
        <f>0.108*1000/5.991</f>
        <v>18.027040560841264</v>
      </c>
      <c r="I137" s="349">
        <f>$H137/$F137</f>
        <v>209.6167507074566</v>
      </c>
      <c r="L137" s="79"/>
    </row>
    <row r="138" spans="1:12" s="8" customFormat="1" ht="12.75" customHeight="1">
      <c r="A138" s="48" t="s">
        <v>88</v>
      </c>
      <c r="B138" s="22">
        <v>2004</v>
      </c>
      <c r="C138" s="55" t="s">
        <v>14</v>
      </c>
      <c r="D138" s="10" t="s">
        <v>345</v>
      </c>
      <c r="E138" s="244"/>
      <c r="F138" s="345"/>
      <c r="G138" s="332"/>
      <c r="H138" s="354"/>
      <c r="I138" s="349" t="e">
        <f>$H138/$F138</f>
        <v>#DIV/0!</v>
      </c>
      <c r="L138" s="79"/>
    </row>
    <row r="139" spans="1:12" s="165" customFormat="1" ht="3" customHeight="1">
      <c r="A139" s="217"/>
      <c r="B139" s="166"/>
      <c r="C139" s="185"/>
      <c r="F139" s="189"/>
      <c r="G139" s="205"/>
      <c r="H139" s="182"/>
      <c r="I139" s="190"/>
      <c r="L139" s="173"/>
    </row>
    <row r="140" spans="1:12" s="8" customFormat="1" ht="12.75" customHeight="1">
      <c r="A140" s="48" t="s">
        <v>88</v>
      </c>
      <c r="B140" s="22">
        <v>2004</v>
      </c>
      <c r="C140" s="55"/>
      <c r="D140" s="10" t="s">
        <v>482</v>
      </c>
      <c r="E140" s="10"/>
      <c r="F140" s="35">
        <v>0.963</v>
      </c>
      <c r="G140" s="86"/>
      <c r="H140" s="139">
        <f>30.5*1000/5.991</f>
        <v>5090.969788015356</v>
      </c>
      <c r="I140" s="59">
        <f>$H140/$F140</f>
        <v>5286.572988593309</v>
      </c>
      <c r="L140" s="79"/>
    </row>
    <row r="141" spans="1:15" s="24" customFormat="1" ht="12.75" customHeight="1">
      <c r="A141" s="48"/>
      <c r="B141" s="22"/>
      <c r="C141" s="55"/>
      <c r="D141" s="10"/>
      <c r="E141" s="10"/>
      <c r="F141" s="35"/>
      <c r="G141" s="86"/>
      <c r="H141" s="139"/>
      <c r="I141" s="59"/>
      <c r="J141" s="25"/>
      <c r="K141" s="25"/>
      <c r="L141" s="83"/>
      <c r="M141" s="25"/>
      <c r="N141" s="25"/>
      <c r="O141" s="25"/>
    </row>
    <row r="142" spans="1:15" s="24" customFormat="1" ht="12.75" customHeight="1">
      <c r="A142" s="48" t="s">
        <v>83</v>
      </c>
      <c r="B142" s="22">
        <v>2004</v>
      </c>
      <c r="C142" s="251" t="s">
        <v>533</v>
      </c>
      <c r="D142" s="8" t="s">
        <v>42</v>
      </c>
      <c r="E142" s="8"/>
      <c r="F142" s="19">
        <v>0</v>
      </c>
      <c r="G142" s="79" t="s">
        <v>10</v>
      </c>
      <c r="H142" s="125" t="s">
        <v>71</v>
      </c>
      <c r="I142" s="70" t="s">
        <v>71</v>
      </c>
      <c r="J142" s="25"/>
      <c r="K142" s="25"/>
      <c r="L142" s="25"/>
      <c r="M142" s="25"/>
      <c r="N142" s="25"/>
      <c r="O142" s="25"/>
    </row>
    <row r="143" spans="1:9" ht="12.75" customHeight="1">
      <c r="A143" s="50"/>
      <c r="E143" s="33"/>
      <c r="F143" s="35"/>
      <c r="H143" s="139"/>
      <c r="I143" s="59"/>
    </row>
    <row r="144" spans="1:9" ht="12.75" customHeight="1">
      <c r="A144" s="48" t="s">
        <v>87</v>
      </c>
      <c r="B144" s="22">
        <v>2003</v>
      </c>
      <c r="C144" s="55" t="s">
        <v>720</v>
      </c>
      <c r="D144" s="75" t="s">
        <v>373</v>
      </c>
      <c r="E144" s="252"/>
      <c r="F144" s="352">
        <v>0.897218</v>
      </c>
      <c r="G144" s="83"/>
      <c r="H144" s="362">
        <f>2679/0.88603</f>
        <v>3023.5996523819736</v>
      </c>
      <c r="I144" s="364">
        <f>$H144/$F144</f>
        <v>3369.9721276010664</v>
      </c>
    </row>
    <row r="145" spans="1:9" ht="12.75" customHeight="1">
      <c r="A145" s="48" t="s">
        <v>87</v>
      </c>
      <c r="B145" s="22">
        <v>2003</v>
      </c>
      <c r="C145" s="55" t="s">
        <v>479</v>
      </c>
      <c r="D145" s="75" t="s">
        <v>374</v>
      </c>
      <c r="E145" s="253"/>
      <c r="F145" s="352"/>
      <c r="G145" s="83"/>
      <c r="H145" s="363">
        <v>1160.699</v>
      </c>
      <c r="I145" s="365" t="e">
        <f>$H145/$F145</f>
        <v>#DIV/0!</v>
      </c>
    </row>
    <row r="146" spans="1:9" ht="12.75" customHeight="1">
      <c r="A146" s="48" t="s">
        <v>87</v>
      </c>
      <c r="B146" s="22">
        <v>2003</v>
      </c>
      <c r="C146" s="55" t="s">
        <v>15</v>
      </c>
      <c r="D146" s="75" t="s">
        <v>312</v>
      </c>
      <c r="E146" s="253"/>
      <c r="F146" s="352"/>
      <c r="G146" s="83"/>
      <c r="H146" s="363">
        <v>1160.699</v>
      </c>
      <c r="I146" s="365" t="e">
        <f>$H146/$F146</f>
        <v>#DIV/0!</v>
      </c>
    </row>
    <row r="147" spans="1:15" s="24" customFormat="1" ht="12.75" customHeight="1">
      <c r="A147" s="48" t="s">
        <v>87</v>
      </c>
      <c r="B147" s="22">
        <v>2003</v>
      </c>
      <c r="C147" s="55" t="s">
        <v>467</v>
      </c>
      <c r="D147" s="75" t="s">
        <v>319</v>
      </c>
      <c r="E147" s="253"/>
      <c r="F147" s="352"/>
      <c r="G147" s="83"/>
      <c r="H147" s="363">
        <v>1160.699</v>
      </c>
      <c r="I147" s="365" t="e">
        <f>$H147/$F147</f>
        <v>#DIV/0!</v>
      </c>
      <c r="J147" s="25"/>
      <c r="K147" s="25"/>
      <c r="L147" s="25"/>
      <c r="M147" s="25"/>
      <c r="N147" s="25"/>
      <c r="O147" s="25"/>
    </row>
    <row r="148" spans="1:15" s="24" customFormat="1" ht="12.75" customHeight="1">
      <c r="A148" s="48" t="s">
        <v>87</v>
      </c>
      <c r="B148" s="22">
        <v>2003</v>
      </c>
      <c r="C148" s="55" t="s">
        <v>467</v>
      </c>
      <c r="D148" s="75" t="s">
        <v>356</v>
      </c>
      <c r="E148" s="254"/>
      <c r="F148" s="352"/>
      <c r="G148" s="83"/>
      <c r="H148" s="363">
        <v>1160.699</v>
      </c>
      <c r="I148" s="365" t="e">
        <f>$H148/$F148</f>
        <v>#DIV/0!</v>
      </c>
      <c r="J148" s="25"/>
      <c r="K148" s="25"/>
      <c r="L148" s="25"/>
      <c r="M148" s="25"/>
      <c r="N148" s="25"/>
      <c r="O148" s="25"/>
    </row>
    <row r="149" spans="1:15" s="24" customFormat="1" ht="3" customHeight="1">
      <c r="A149" s="48"/>
      <c r="B149" s="22"/>
      <c r="C149" s="22"/>
      <c r="D149" s="8"/>
      <c r="E149" s="8"/>
      <c r="F149" s="19"/>
      <c r="G149" s="79"/>
      <c r="H149" s="126"/>
      <c r="I149" s="21"/>
      <c r="J149" s="25"/>
      <c r="K149" s="25"/>
      <c r="L149" s="25"/>
      <c r="M149" s="25"/>
      <c r="N149" s="25"/>
      <c r="O149" s="25"/>
    </row>
    <row r="150" spans="1:15" s="24" customFormat="1" ht="12.75" customHeight="1">
      <c r="A150" s="48" t="s">
        <v>87</v>
      </c>
      <c r="B150" s="22">
        <v>2003</v>
      </c>
      <c r="C150" s="55" t="s">
        <v>14</v>
      </c>
      <c r="D150" s="10" t="s">
        <v>345</v>
      </c>
      <c r="E150" s="252"/>
      <c r="F150" s="345">
        <v>0.686413</v>
      </c>
      <c r="G150" s="100"/>
      <c r="H150" s="354">
        <f>1139/0.88603</f>
        <v>1285.5095199936798</v>
      </c>
      <c r="I150" s="349">
        <f>$H150/$F150</f>
        <v>1872.7930852033392</v>
      </c>
      <c r="J150" s="25"/>
      <c r="K150" s="25"/>
      <c r="L150" s="25"/>
      <c r="M150" s="25"/>
      <c r="N150" s="25"/>
      <c r="O150" s="25"/>
    </row>
    <row r="151" spans="1:15" s="24" customFormat="1" ht="12.75" customHeight="1">
      <c r="A151" s="48" t="s">
        <v>87</v>
      </c>
      <c r="B151" s="22">
        <v>2003</v>
      </c>
      <c r="C151" s="55" t="s">
        <v>467</v>
      </c>
      <c r="D151" s="10" t="s">
        <v>315</v>
      </c>
      <c r="E151" s="253"/>
      <c r="F151" s="345"/>
      <c r="G151" s="100"/>
      <c r="H151" s="355">
        <v>1160.699</v>
      </c>
      <c r="I151" s="350" t="e">
        <f>$H151/$F151</f>
        <v>#DIV/0!</v>
      </c>
      <c r="J151" s="25"/>
      <c r="K151" s="25"/>
      <c r="L151" s="25"/>
      <c r="M151" s="25"/>
      <c r="N151" s="25"/>
      <c r="O151" s="25"/>
    </row>
    <row r="152" spans="1:15" s="24" customFormat="1" ht="12.75" customHeight="1">
      <c r="A152" s="48" t="s">
        <v>87</v>
      </c>
      <c r="B152" s="22">
        <v>2003</v>
      </c>
      <c r="C152" s="55" t="s">
        <v>467</v>
      </c>
      <c r="D152" s="10" t="s">
        <v>354</v>
      </c>
      <c r="E152" s="254"/>
      <c r="F152" s="345"/>
      <c r="G152" s="100"/>
      <c r="H152" s="355">
        <v>1160.699</v>
      </c>
      <c r="I152" s="350" t="e">
        <f>$H152/$F152</f>
        <v>#DIV/0!</v>
      </c>
      <c r="J152" s="25"/>
      <c r="K152" s="25"/>
      <c r="L152" s="25"/>
      <c r="M152" s="25"/>
      <c r="N152" s="25"/>
      <c r="O152" s="25"/>
    </row>
    <row r="153" spans="1:15" s="24" customFormat="1" ht="3" customHeight="1">
      <c r="A153" s="217"/>
      <c r="B153" s="166"/>
      <c r="C153" s="185"/>
      <c r="D153" s="165"/>
      <c r="E153" s="180"/>
      <c r="F153" s="189"/>
      <c r="G153" s="209"/>
      <c r="H153" s="216"/>
      <c r="I153" s="195"/>
      <c r="J153" s="25"/>
      <c r="K153" s="25"/>
      <c r="L153" s="25"/>
      <c r="M153" s="25"/>
      <c r="N153" s="25"/>
      <c r="O153" s="25"/>
    </row>
    <row r="154" spans="1:15" s="24" customFormat="1" ht="12.75" customHeight="1">
      <c r="A154" s="48" t="s">
        <v>87</v>
      </c>
      <c r="B154" s="22">
        <v>2003</v>
      </c>
      <c r="C154" s="22"/>
      <c r="D154" s="25" t="s">
        <v>482</v>
      </c>
      <c r="E154" s="25"/>
      <c r="F154" s="19">
        <v>20.018761</v>
      </c>
      <c r="G154" s="83"/>
      <c r="H154" s="126">
        <f>8193/0.88603</f>
        <v>9246.865230296942</v>
      </c>
      <c r="I154" s="21">
        <f>$H154/$F154</f>
        <v>461.9099668704243</v>
      </c>
      <c r="J154" s="25"/>
      <c r="K154" s="25"/>
      <c r="L154" s="25"/>
      <c r="M154" s="25"/>
      <c r="N154" s="25"/>
      <c r="O154" s="25"/>
    </row>
    <row r="155" spans="1:15" s="24" customFormat="1" ht="12.75" customHeight="1">
      <c r="A155" s="48"/>
      <c r="B155" s="22"/>
      <c r="D155" s="8"/>
      <c r="F155" s="26"/>
      <c r="G155" s="87"/>
      <c r="H155" s="128"/>
      <c r="I155" s="47"/>
      <c r="J155" s="25"/>
      <c r="K155" s="25"/>
      <c r="L155" s="25"/>
      <c r="M155" s="25"/>
      <c r="N155" s="25"/>
      <c r="O155" s="25"/>
    </row>
    <row r="156" spans="1:15" s="24" customFormat="1" ht="12.75" customHeight="1">
      <c r="A156" s="48" t="s">
        <v>87</v>
      </c>
      <c r="B156" s="22">
        <v>2004</v>
      </c>
      <c r="C156" s="55" t="s">
        <v>720</v>
      </c>
      <c r="D156" s="75" t="s">
        <v>373</v>
      </c>
      <c r="E156" s="252"/>
      <c r="F156" s="352">
        <v>0.756371</v>
      </c>
      <c r="G156" s="83"/>
      <c r="H156" s="362">
        <f>3937/0.80537</f>
        <v>4888.436370860598</v>
      </c>
      <c r="I156" s="364">
        <f>$H156/$F156</f>
        <v>6463.014011458131</v>
      </c>
      <c r="J156" s="25"/>
      <c r="K156" s="25"/>
      <c r="L156" s="25"/>
      <c r="M156" s="25"/>
      <c r="N156" s="25"/>
      <c r="O156" s="25"/>
    </row>
    <row r="157" spans="1:15" s="24" customFormat="1" ht="12.75" customHeight="1">
      <c r="A157" s="48" t="s">
        <v>87</v>
      </c>
      <c r="B157" s="22">
        <v>2004</v>
      </c>
      <c r="C157" s="55" t="s">
        <v>479</v>
      </c>
      <c r="D157" s="75" t="s">
        <v>374</v>
      </c>
      <c r="E157" s="253"/>
      <c r="F157" s="352"/>
      <c r="G157" s="83"/>
      <c r="H157" s="363">
        <v>1160.699</v>
      </c>
      <c r="I157" s="365" t="e">
        <f>$H157/$F157</f>
        <v>#DIV/0!</v>
      </c>
      <c r="J157" s="25"/>
      <c r="K157" s="25"/>
      <c r="L157" s="25"/>
      <c r="M157" s="25"/>
      <c r="N157" s="25"/>
      <c r="O157" s="25"/>
    </row>
    <row r="158" spans="1:15" s="24" customFormat="1" ht="12.75" customHeight="1">
      <c r="A158" s="48" t="s">
        <v>87</v>
      </c>
      <c r="B158" s="22">
        <v>2004</v>
      </c>
      <c r="C158" s="55" t="s">
        <v>15</v>
      </c>
      <c r="D158" s="75" t="s">
        <v>312</v>
      </c>
      <c r="E158" s="253"/>
      <c r="F158" s="352"/>
      <c r="G158" s="83"/>
      <c r="H158" s="363">
        <v>1160.699</v>
      </c>
      <c r="I158" s="365" t="e">
        <f>$H158/$F158</f>
        <v>#DIV/0!</v>
      </c>
      <c r="J158" s="25"/>
      <c r="K158" s="25"/>
      <c r="L158" s="25"/>
      <c r="M158" s="25"/>
      <c r="N158" s="25"/>
      <c r="O158" s="25"/>
    </row>
    <row r="159" spans="1:15" s="24" customFormat="1" ht="12.75" customHeight="1">
      <c r="A159" s="48" t="s">
        <v>87</v>
      </c>
      <c r="B159" s="22">
        <v>2004</v>
      </c>
      <c r="C159" s="55" t="s">
        <v>467</v>
      </c>
      <c r="D159" s="75" t="s">
        <v>319</v>
      </c>
      <c r="E159" s="253"/>
      <c r="F159" s="352"/>
      <c r="G159" s="83"/>
      <c r="H159" s="363">
        <v>1160.699</v>
      </c>
      <c r="I159" s="365" t="e">
        <f>$H159/$F159</f>
        <v>#DIV/0!</v>
      </c>
      <c r="J159" s="25"/>
      <c r="K159" s="25"/>
      <c r="L159" s="25"/>
      <c r="M159" s="25"/>
      <c r="N159" s="25"/>
      <c r="O159" s="25"/>
    </row>
    <row r="160" spans="1:15" s="24" customFormat="1" ht="12.75" customHeight="1">
      <c r="A160" s="48" t="s">
        <v>87</v>
      </c>
      <c r="B160" s="22">
        <v>2004</v>
      </c>
      <c r="C160" s="55" t="s">
        <v>467</v>
      </c>
      <c r="D160" s="75" t="s">
        <v>356</v>
      </c>
      <c r="E160" s="254"/>
      <c r="F160" s="352"/>
      <c r="G160" s="83"/>
      <c r="H160" s="363">
        <v>1160.699</v>
      </c>
      <c r="I160" s="365" t="e">
        <f>$H160/$F160</f>
        <v>#DIV/0!</v>
      </c>
      <c r="J160" s="25"/>
      <c r="K160" s="25"/>
      <c r="L160" s="25"/>
      <c r="M160" s="25"/>
      <c r="N160" s="25"/>
      <c r="O160" s="25"/>
    </row>
    <row r="161" spans="1:15" s="24" customFormat="1" ht="3" customHeight="1">
      <c r="A161" s="8"/>
      <c r="B161" s="22"/>
      <c r="C161" s="9"/>
      <c r="D161" s="10"/>
      <c r="E161" s="10"/>
      <c r="F161" s="42"/>
      <c r="G161" s="79"/>
      <c r="H161" s="123"/>
      <c r="I161" s="15"/>
      <c r="J161" s="25"/>
      <c r="K161" s="25"/>
      <c r="L161" s="25"/>
      <c r="M161" s="25"/>
      <c r="N161" s="25"/>
      <c r="O161" s="25"/>
    </row>
    <row r="162" spans="1:15" s="24" customFormat="1" ht="12.75" customHeight="1">
      <c r="A162" s="48" t="s">
        <v>87</v>
      </c>
      <c r="B162" s="22">
        <v>2004</v>
      </c>
      <c r="C162" s="55" t="s">
        <v>14</v>
      </c>
      <c r="D162" s="10" t="s">
        <v>345</v>
      </c>
      <c r="E162" s="252"/>
      <c r="F162" s="345">
        <v>0.252168</v>
      </c>
      <c r="G162" s="100"/>
      <c r="H162" s="354">
        <f>764/0.80537</f>
        <v>948.6323056483355</v>
      </c>
      <c r="I162" s="349">
        <f>$H162/$F162</f>
        <v>3761.9059739869276</v>
      </c>
      <c r="J162" s="25"/>
      <c r="K162" s="25"/>
      <c r="L162" s="25"/>
      <c r="M162" s="25"/>
      <c r="N162" s="25"/>
      <c r="O162" s="25"/>
    </row>
    <row r="163" spans="1:15" s="24" customFormat="1" ht="12.75" customHeight="1">
      <c r="A163" s="48" t="s">
        <v>87</v>
      </c>
      <c r="B163" s="22">
        <v>2004</v>
      </c>
      <c r="C163" s="55" t="s">
        <v>467</v>
      </c>
      <c r="D163" s="10" t="s">
        <v>315</v>
      </c>
      <c r="E163" s="253"/>
      <c r="F163" s="345"/>
      <c r="G163" s="100" t="s">
        <v>10</v>
      </c>
      <c r="H163" s="355">
        <v>1160.699</v>
      </c>
      <c r="I163" s="350" t="e">
        <f>$H163/$F163</f>
        <v>#DIV/0!</v>
      </c>
      <c r="J163" s="25"/>
      <c r="K163" s="25"/>
      <c r="L163" s="25"/>
      <c r="M163" s="25"/>
      <c r="N163" s="25"/>
      <c r="O163" s="25"/>
    </row>
    <row r="164" spans="1:15" s="24" customFormat="1" ht="12.75" customHeight="1">
      <c r="A164" s="48" t="s">
        <v>87</v>
      </c>
      <c r="B164" s="22">
        <v>2004</v>
      </c>
      <c r="C164" s="55" t="s">
        <v>467</v>
      </c>
      <c r="D164" s="10" t="s">
        <v>354</v>
      </c>
      <c r="E164" s="254"/>
      <c r="F164" s="345"/>
      <c r="G164" s="100"/>
      <c r="H164" s="355">
        <v>1160.699</v>
      </c>
      <c r="I164" s="350" t="e">
        <f>$H164/$F164</f>
        <v>#DIV/0!</v>
      </c>
      <c r="J164" s="25"/>
      <c r="K164" s="25"/>
      <c r="L164" s="25"/>
      <c r="M164" s="25"/>
      <c r="N164" s="25"/>
      <c r="O164" s="25"/>
    </row>
    <row r="165" spans="1:15" s="24" customFormat="1" ht="3" customHeight="1">
      <c r="A165" s="217"/>
      <c r="B165" s="166"/>
      <c r="C165" s="185"/>
      <c r="D165" s="165"/>
      <c r="E165" s="180"/>
      <c r="F165" s="189"/>
      <c r="G165" s="209"/>
      <c r="H165" s="216"/>
      <c r="I165" s="195"/>
      <c r="J165" s="25"/>
      <c r="K165" s="25"/>
      <c r="L165" s="25"/>
      <c r="M165" s="25"/>
      <c r="N165" s="25"/>
      <c r="O165" s="25"/>
    </row>
    <row r="166" spans="1:15" s="24" customFormat="1" ht="12.75" customHeight="1">
      <c r="A166" s="48" t="s">
        <v>87</v>
      </c>
      <c r="B166" s="22">
        <v>2004</v>
      </c>
      <c r="C166" s="22"/>
      <c r="D166" s="25" t="s">
        <v>482</v>
      </c>
      <c r="E166" s="25"/>
      <c r="F166" s="19">
        <v>5.006918</v>
      </c>
      <c r="G166" s="83"/>
      <c r="H166" s="126">
        <f>2630/0.80537</f>
        <v>3265.579795621888</v>
      </c>
      <c r="I166" s="21">
        <f>$H166/$F166</f>
        <v>652.2135564476766</v>
      </c>
      <c r="J166" s="25"/>
      <c r="K166" s="25"/>
      <c r="L166" s="25"/>
      <c r="M166" s="25"/>
      <c r="N166" s="25"/>
      <c r="O166" s="25"/>
    </row>
    <row r="167" spans="1:15" s="24" customFormat="1" ht="12.75" customHeight="1">
      <c r="A167" s="71"/>
      <c r="B167" s="22"/>
      <c r="G167" s="87"/>
      <c r="H167" s="128"/>
      <c r="I167" s="26"/>
      <c r="J167" s="25"/>
      <c r="K167" s="25"/>
      <c r="L167" s="25"/>
      <c r="M167" s="25"/>
      <c r="N167" s="25"/>
      <c r="O167" s="25"/>
    </row>
    <row r="168" spans="1:15" s="24" customFormat="1" ht="12.75" customHeight="1">
      <c r="A168" s="50" t="s">
        <v>78</v>
      </c>
      <c r="B168" s="5">
        <v>2003</v>
      </c>
      <c r="C168" s="37"/>
      <c r="D168" s="34" t="s">
        <v>482</v>
      </c>
      <c r="E168" s="106"/>
      <c r="F168" s="35">
        <v>4.7</v>
      </c>
      <c r="G168" s="86"/>
      <c r="H168" s="126">
        <f>5190/0.88603</f>
        <v>5857.58947213977</v>
      </c>
      <c r="I168" s="47">
        <f>$H168/$F168</f>
        <v>1246.2956323701637</v>
      </c>
      <c r="J168" s="25"/>
      <c r="K168" s="25"/>
      <c r="L168" s="25"/>
      <c r="M168" s="25"/>
      <c r="N168" s="25"/>
      <c r="O168" s="25"/>
    </row>
    <row r="169" spans="1:15" s="24" customFormat="1" ht="12.75" customHeight="1">
      <c r="A169" s="50"/>
      <c r="B169" s="5"/>
      <c r="C169" s="37"/>
      <c r="D169" s="34"/>
      <c r="E169" s="106"/>
      <c r="F169" s="35"/>
      <c r="G169" s="86"/>
      <c r="H169" s="138"/>
      <c r="I169" s="26"/>
      <c r="J169" s="25"/>
      <c r="K169" s="25"/>
      <c r="L169" s="25"/>
      <c r="M169" s="25"/>
      <c r="N169" s="25"/>
      <c r="O169" s="25"/>
    </row>
    <row r="170" spans="1:15" s="24" customFormat="1" ht="12.75" customHeight="1">
      <c r="A170" s="48" t="s">
        <v>78</v>
      </c>
      <c r="B170" s="22">
        <v>2004</v>
      </c>
      <c r="C170" s="25"/>
      <c r="D170" s="25" t="s">
        <v>482</v>
      </c>
      <c r="E170" s="25"/>
      <c r="F170" s="21">
        <v>6.7</v>
      </c>
      <c r="G170" s="83"/>
      <c r="H170" s="126">
        <f>3605/0.80537</f>
        <v>4476.203484112892</v>
      </c>
      <c r="I170" s="47">
        <f>$H170/$F170</f>
        <v>668.0900722556554</v>
      </c>
      <c r="J170" s="25"/>
      <c r="K170" s="25"/>
      <c r="L170" s="25"/>
      <c r="M170" s="25"/>
      <c r="N170" s="25"/>
      <c r="O170" s="25"/>
    </row>
    <row r="171" spans="1:15" s="24" customFormat="1" ht="12.75" customHeight="1">
      <c r="A171" s="50"/>
      <c r="B171" s="5"/>
      <c r="C171" s="37"/>
      <c r="D171" s="34"/>
      <c r="E171" s="106"/>
      <c r="F171" s="35"/>
      <c r="G171" s="86"/>
      <c r="H171" s="138"/>
      <c r="I171" s="14"/>
      <c r="J171" s="25"/>
      <c r="K171" s="25"/>
      <c r="L171" s="25"/>
      <c r="M171" s="25"/>
      <c r="N171" s="25"/>
      <c r="O171" s="25"/>
    </row>
    <row r="172" spans="1:15" s="24" customFormat="1" ht="12.75" customHeight="1">
      <c r="A172" s="48" t="s">
        <v>251</v>
      </c>
      <c r="B172" s="22">
        <v>2003</v>
      </c>
      <c r="C172" s="55" t="s">
        <v>282</v>
      </c>
      <c r="D172" s="10" t="s">
        <v>365</v>
      </c>
      <c r="E172" s="252"/>
      <c r="F172" s="366">
        <v>6</v>
      </c>
      <c r="G172" s="93"/>
      <c r="H172" s="363">
        <f>7450/0.88603</f>
        <v>8408.293172917396</v>
      </c>
      <c r="I172" s="365">
        <f>$H172/$F172</f>
        <v>1401.3821954862326</v>
      </c>
      <c r="J172" s="25"/>
      <c r="K172" s="25"/>
      <c r="L172" s="25"/>
      <c r="M172" s="25"/>
      <c r="N172" s="25"/>
      <c r="O172" s="25"/>
    </row>
    <row r="173" spans="1:15" s="24" customFormat="1" ht="12.75" customHeight="1">
      <c r="A173" s="48" t="s">
        <v>251</v>
      </c>
      <c r="B173" s="22">
        <v>2003</v>
      </c>
      <c r="C173" s="55" t="s">
        <v>280</v>
      </c>
      <c r="D173" s="10" t="s">
        <v>378</v>
      </c>
      <c r="E173" s="253"/>
      <c r="F173" s="366"/>
      <c r="G173" s="93"/>
      <c r="H173" s="363"/>
      <c r="I173" s="365"/>
      <c r="J173" s="25"/>
      <c r="K173" s="25"/>
      <c r="L173" s="25"/>
      <c r="M173" s="25"/>
      <c r="N173" s="25"/>
      <c r="O173" s="25"/>
    </row>
    <row r="174" spans="1:15" s="24" customFormat="1" ht="12.75" customHeight="1">
      <c r="A174" s="48" t="s">
        <v>251</v>
      </c>
      <c r="B174" s="22">
        <v>2003</v>
      </c>
      <c r="C174" s="55" t="s">
        <v>281</v>
      </c>
      <c r="D174" s="10" t="s">
        <v>379</v>
      </c>
      <c r="E174" s="253"/>
      <c r="F174" s="366"/>
      <c r="G174" s="93"/>
      <c r="H174" s="363"/>
      <c r="I174" s="365"/>
      <c r="J174" s="25"/>
      <c r="K174" s="25"/>
      <c r="L174" s="25"/>
      <c r="M174" s="25"/>
      <c r="N174" s="25"/>
      <c r="O174" s="25"/>
    </row>
    <row r="175" spans="1:15" s="24" customFormat="1" ht="12.75" customHeight="1">
      <c r="A175" s="48" t="s">
        <v>251</v>
      </c>
      <c r="B175" s="22">
        <v>2003</v>
      </c>
      <c r="C175" s="55" t="s">
        <v>720</v>
      </c>
      <c r="D175" s="75" t="s">
        <v>373</v>
      </c>
      <c r="E175" s="253"/>
      <c r="F175" s="366"/>
      <c r="G175" s="93"/>
      <c r="H175" s="363"/>
      <c r="I175" s="365"/>
      <c r="J175" s="25"/>
      <c r="K175" s="25"/>
      <c r="L175" s="25"/>
      <c r="M175" s="25"/>
      <c r="N175" s="25"/>
      <c r="O175" s="25"/>
    </row>
    <row r="176" spans="1:15" s="24" customFormat="1" ht="12.75" customHeight="1">
      <c r="A176" s="48" t="s">
        <v>251</v>
      </c>
      <c r="B176" s="22">
        <v>2003</v>
      </c>
      <c r="C176" s="55" t="s">
        <v>479</v>
      </c>
      <c r="D176" s="75" t="s">
        <v>374</v>
      </c>
      <c r="E176" s="253"/>
      <c r="F176" s="366"/>
      <c r="G176" s="93"/>
      <c r="H176" s="363"/>
      <c r="I176" s="365"/>
      <c r="J176" s="25"/>
      <c r="K176" s="25"/>
      <c r="L176" s="25"/>
      <c r="M176" s="25"/>
      <c r="N176" s="25"/>
      <c r="O176" s="25"/>
    </row>
    <row r="177" spans="1:9" ht="12.75" customHeight="1">
      <c r="A177" s="48" t="s">
        <v>251</v>
      </c>
      <c r="B177" s="22">
        <v>2003</v>
      </c>
      <c r="C177" s="55" t="s">
        <v>15</v>
      </c>
      <c r="D177" s="75" t="s">
        <v>312</v>
      </c>
      <c r="E177" s="243"/>
      <c r="F177" s="366"/>
      <c r="G177" s="93"/>
      <c r="H177" s="363"/>
      <c r="I177" s="365"/>
    </row>
    <row r="178" spans="1:9" ht="12.75" customHeight="1">
      <c r="A178" s="48" t="s">
        <v>251</v>
      </c>
      <c r="B178" s="22">
        <v>2003</v>
      </c>
      <c r="C178" s="55" t="s">
        <v>467</v>
      </c>
      <c r="D178" s="75" t="s">
        <v>319</v>
      </c>
      <c r="E178" s="243"/>
      <c r="F178" s="366"/>
      <c r="G178" s="93"/>
      <c r="H178" s="363"/>
      <c r="I178" s="365"/>
    </row>
    <row r="179" spans="1:9" ht="12.75" customHeight="1">
      <c r="A179" s="48" t="s">
        <v>251</v>
      </c>
      <c r="B179" s="22">
        <v>2003</v>
      </c>
      <c r="C179" s="55" t="s">
        <v>467</v>
      </c>
      <c r="D179" s="75" t="s">
        <v>356</v>
      </c>
      <c r="E179" s="244"/>
      <c r="F179" s="366"/>
      <c r="G179" s="93"/>
      <c r="H179" s="363"/>
      <c r="I179" s="365"/>
    </row>
    <row r="180" spans="1:9" ht="3" customHeight="1">
      <c r="A180" s="217"/>
      <c r="B180" s="166"/>
      <c r="C180" s="185"/>
      <c r="D180" s="165"/>
      <c r="E180" s="180"/>
      <c r="F180" s="224"/>
      <c r="G180" s="209"/>
      <c r="H180" s="216"/>
      <c r="I180" s="195"/>
    </row>
    <row r="181" spans="1:9" ht="12.75" customHeight="1">
      <c r="A181" s="48" t="s">
        <v>251</v>
      </c>
      <c r="B181" s="22">
        <v>2003</v>
      </c>
      <c r="C181" s="55" t="s">
        <v>14</v>
      </c>
      <c r="D181" s="10" t="s">
        <v>345</v>
      </c>
      <c r="E181" s="252"/>
      <c r="F181" s="353">
        <v>0</v>
      </c>
      <c r="G181" s="100"/>
      <c r="H181" s="354" t="s">
        <v>71</v>
      </c>
      <c r="I181" s="349" t="s">
        <v>71</v>
      </c>
    </row>
    <row r="182" spans="1:9" ht="12.75" customHeight="1">
      <c r="A182" s="48" t="s">
        <v>251</v>
      </c>
      <c r="B182" s="22">
        <v>2003</v>
      </c>
      <c r="C182" s="55" t="s">
        <v>467</v>
      </c>
      <c r="D182" s="10" t="s">
        <v>315</v>
      </c>
      <c r="E182" s="253"/>
      <c r="F182" s="353"/>
      <c r="G182" s="100" t="s">
        <v>10</v>
      </c>
      <c r="H182" s="355">
        <f>211.761</f>
        <v>211.761</v>
      </c>
      <c r="I182" s="350" t="e">
        <f>$H182/$F182</f>
        <v>#DIV/0!</v>
      </c>
    </row>
    <row r="183" spans="1:9" ht="12.75" customHeight="1">
      <c r="A183" s="48" t="s">
        <v>251</v>
      </c>
      <c r="B183" s="22">
        <v>2003</v>
      </c>
      <c r="C183" s="55" t="s">
        <v>467</v>
      </c>
      <c r="D183" s="10" t="s">
        <v>354</v>
      </c>
      <c r="E183" s="254"/>
      <c r="F183" s="353"/>
      <c r="G183" s="100"/>
      <c r="H183" s="355">
        <f>211.761</f>
        <v>211.761</v>
      </c>
      <c r="I183" s="350" t="e">
        <f>$H183/$F183</f>
        <v>#DIV/0!</v>
      </c>
    </row>
    <row r="184" spans="1:9" ht="3" customHeight="1">
      <c r="A184" s="217"/>
      <c r="B184" s="166"/>
      <c r="C184" s="185"/>
      <c r="D184" s="165"/>
      <c r="E184" s="180"/>
      <c r="F184" s="224"/>
      <c r="G184" s="209"/>
      <c r="H184" s="216"/>
      <c r="I184" s="195"/>
    </row>
    <row r="185" spans="1:9" ht="12.75" customHeight="1">
      <c r="A185" s="48" t="s">
        <v>251</v>
      </c>
      <c r="B185" s="22">
        <v>2003</v>
      </c>
      <c r="C185" s="286"/>
      <c r="D185" s="25" t="s">
        <v>482</v>
      </c>
      <c r="E185" s="25"/>
      <c r="F185" s="25">
        <v>1</v>
      </c>
      <c r="G185" s="83"/>
      <c r="H185" s="126">
        <f>93/0.88603</f>
        <v>104.9625859169554</v>
      </c>
      <c r="I185" s="47">
        <f>$H185/$F185</f>
        <v>104.9625859169554</v>
      </c>
    </row>
    <row r="186" spans="1:9" ht="12.75" customHeight="1">
      <c r="A186" s="48"/>
      <c r="B186" s="22"/>
      <c r="C186" s="24"/>
      <c r="D186" s="25"/>
      <c r="E186" s="25"/>
      <c r="F186" s="25"/>
      <c r="G186" s="83"/>
      <c r="H186" s="143"/>
      <c r="I186" s="25"/>
    </row>
    <row r="187" spans="1:9" ht="3" customHeight="1">
      <c r="A187" s="48"/>
      <c r="B187" s="22"/>
      <c r="C187" s="24"/>
      <c r="D187" s="25"/>
      <c r="E187" s="25"/>
      <c r="F187" s="25"/>
      <c r="G187" s="83"/>
      <c r="H187" s="143"/>
      <c r="I187" s="25"/>
    </row>
    <row r="188" spans="1:9" ht="12.75" customHeight="1">
      <c r="A188" s="48" t="s">
        <v>251</v>
      </c>
      <c r="B188" s="22">
        <v>2004</v>
      </c>
      <c r="C188" s="55" t="s">
        <v>282</v>
      </c>
      <c r="D188" s="10" t="s">
        <v>365</v>
      </c>
      <c r="E188" s="252"/>
      <c r="F188" s="366">
        <v>7</v>
      </c>
      <c r="G188" s="93"/>
      <c r="H188" s="363">
        <f>7756/0.80537</f>
        <v>9630.356233780747</v>
      </c>
      <c r="I188" s="365">
        <f>$H188/$F188</f>
        <v>1375.7651762543924</v>
      </c>
    </row>
    <row r="189" spans="1:9" ht="12.75" customHeight="1">
      <c r="A189" s="48" t="s">
        <v>251</v>
      </c>
      <c r="B189" s="22">
        <v>2004</v>
      </c>
      <c r="C189" s="55" t="s">
        <v>280</v>
      </c>
      <c r="D189" s="10" t="s">
        <v>378</v>
      </c>
      <c r="E189" s="253"/>
      <c r="F189" s="366"/>
      <c r="G189" s="93"/>
      <c r="H189" s="363"/>
      <c r="I189" s="365"/>
    </row>
    <row r="190" spans="1:9" ht="12.75" customHeight="1">
      <c r="A190" s="48" t="s">
        <v>251</v>
      </c>
      <c r="B190" s="22">
        <v>2004</v>
      </c>
      <c r="C190" s="55" t="s">
        <v>281</v>
      </c>
      <c r="D190" s="10" t="s">
        <v>379</v>
      </c>
      <c r="E190" s="253"/>
      <c r="F190" s="366"/>
      <c r="G190" s="93"/>
      <c r="H190" s="363"/>
      <c r="I190" s="365"/>
    </row>
    <row r="191" spans="1:9" ht="12.75" customHeight="1">
      <c r="A191" s="48" t="s">
        <v>251</v>
      </c>
      <c r="B191" s="22">
        <v>2004</v>
      </c>
      <c r="C191" s="55" t="s">
        <v>720</v>
      </c>
      <c r="D191" s="75" t="s">
        <v>373</v>
      </c>
      <c r="E191" s="253"/>
      <c r="F191" s="366"/>
      <c r="G191" s="93"/>
      <c r="H191" s="363"/>
      <c r="I191" s="365"/>
    </row>
    <row r="192" spans="1:9" ht="12.75" customHeight="1">
      <c r="A192" s="48" t="s">
        <v>251</v>
      </c>
      <c r="B192" s="22">
        <v>2004</v>
      </c>
      <c r="C192" s="55" t="s">
        <v>479</v>
      </c>
      <c r="D192" s="75" t="s">
        <v>374</v>
      </c>
      <c r="E192" s="253"/>
      <c r="F192" s="366"/>
      <c r="G192" s="93"/>
      <c r="H192" s="363"/>
      <c r="I192" s="365"/>
    </row>
    <row r="193" spans="1:9" ht="12.75" customHeight="1">
      <c r="A193" s="48" t="s">
        <v>251</v>
      </c>
      <c r="B193" s="22">
        <v>2004</v>
      </c>
      <c r="C193" s="55" t="s">
        <v>15</v>
      </c>
      <c r="D193" s="75" t="s">
        <v>312</v>
      </c>
      <c r="E193" s="243"/>
      <c r="F193" s="366"/>
      <c r="G193" s="93"/>
      <c r="H193" s="363"/>
      <c r="I193" s="365"/>
    </row>
    <row r="194" spans="1:9" ht="12.75" customHeight="1">
      <c r="A194" s="48" t="s">
        <v>251</v>
      </c>
      <c r="B194" s="22">
        <v>2004</v>
      </c>
      <c r="C194" s="55" t="s">
        <v>467</v>
      </c>
      <c r="D194" s="75" t="s">
        <v>319</v>
      </c>
      <c r="E194" s="243"/>
      <c r="F194" s="366"/>
      <c r="G194" s="93"/>
      <c r="H194" s="363"/>
      <c r="I194" s="365"/>
    </row>
    <row r="195" spans="1:9" ht="12.75" customHeight="1">
      <c r="A195" s="48" t="s">
        <v>251</v>
      </c>
      <c r="B195" s="22">
        <v>2004</v>
      </c>
      <c r="C195" s="55" t="s">
        <v>467</v>
      </c>
      <c r="D195" s="75" t="s">
        <v>356</v>
      </c>
      <c r="E195" s="244"/>
      <c r="F195" s="366"/>
      <c r="G195" s="93"/>
      <c r="H195" s="363"/>
      <c r="I195" s="365"/>
    </row>
    <row r="196" spans="1:9" ht="3" customHeight="1">
      <c r="A196" s="217"/>
      <c r="B196" s="166"/>
      <c r="C196" s="185"/>
      <c r="D196" s="165"/>
      <c r="E196" s="180"/>
      <c r="F196" s="224"/>
      <c r="G196" s="209"/>
      <c r="H196" s="216"/>
      <c r="I196" s="195"/>
    </row>
    <row r="197" spans="1:9" ht="12.75" customHeight="1">
      <c r="A197" s="48" t="s">
        <v>251</v>
      </c>
      <c r="B197" s="22">
        <v>2004</v>
      </c>
      <c r="C197" s="55" t="s">
        <v>14</v>
      </c>
      <c r="D197" s="10" t="s">
        <v>345</v>
      </c>
      <c r="E197" s="252"/>
      <c r="F197" s="353">
        <v>0</v>
      </c>
      <c r="G197" s="100"/>
      <c r="H197" s="354" t="s">
        <v>71</v>
      </c>
      <c r="I197" s="349" t="s">
        <v>71</v>
      </c>
    </row>
    <row r="198" spans="1:9" ht="12.75" customHeight="1">
      <c r="A198" s="48" t="s">
        <v>251</v>
      </c>
      <c r="B198" s="22">
        <v>2004</v>
      </c>
      <c r="C198" s="55" t="s">
        <v>467</v>
      </c>
      <c r="D198" s="10" t="s">
        <v>315</v>
      </c>
      <c r="E198" s="253"/>
      <c r="F198" s="353"/>
      <c r="G198" s="100" t="s">
        <v>10</v>
      </c>
      <c r="H198" s="355">
        <f>211.761</f>
        <v>211.761</v>
      </c>
      <c r="I198" s="350" t="e">
        <f>$H198/$F198</f>
        <v>#DIV/0!</v>
      </c>
    </row>
    <row r="199" spans="1:9" ht="12.75" customHeight="1">
      <c r="A199" s="48" t="s">
        <v>251</v>
      </c>
      <c r="B199" s="22">
        <v>2004</v>
      </c>
      <c r="C199" s="55" t="s">
        <v>467</v>
      </c>
      <c r="D199" s="10" t="s">
        <v>354</v>
      </c>
      <c r="E199" s="254"/>
      <c r="F199" s="353"/>
      <c r="G199" s="100"/>
      <c r="H199" s="355">
        <f>211.761</f>
        <v>211.761</v>
      </c>
      <c r="I199" s="350" t="e">
        <f>$H199/$F199</f>
        <v>#DIV/0!</v>
      </c>
    </row>
    <row r="200" spans="1:9" ht="3" customHeight="1">
      <c r="A200" s="217"/>
      <c r="B200" s="166"/>
      <c r="C200" s="185"/>
      <c r="D200" s="165"/>
      <c r="E200" s="180"/>
      <c r="F200" s="224"/>
      <c r="G200" s="209"/>
      <c r="H200" s="216"/>
      <c r="I200" s="195"/>
    </row>
    <row r="201" spans="1:9" ht="12.75" customHeight="1">
      <c r="A201" s="48" t="s">
        <v>251</v>
      </c>
      <c r="B201" s="22">
        <v>2004</v>
      </c>
      <c r="C201" s="286"/>
      <c r="D201" s="25" t="s">
        <v>482</v>
      </c>
      <c r="E201" s="25"/>
      <c r="F201" s="25">
        <v>0</v>
      </c>
      <c r="G201" s="83" t="s">
        <v>10</v>
      </c>
      <c r="H201" s="125" t="s">
        <v>71</v>
      </c>
      <c r="I201" s="70" t="s">
        <v>71</v>
      </c>
    </row>
    <row r="202" spans="1:9" ht="12.75" customHeight="1">
      <c r="A202" s="48"/>
      <c r="B202" s="22"/>
      <c r="C202" s="286"/>
      <c r="D202" s="25"/>
      <c r="E202" s="25"/>
      <c r="F202" s="25"/>
      <c r="G202" s="83"/>
      <c r="H202" s="126"/>
      <c r="I202" s="47"/>
    </row>
    <row r="203" spans="1:9" ht="12.75" customHeight="1">
      <c r="A203" s="1" t="s">
        <v>13</v>
      </c>
      <c r="B203" s="5">
        <v>2003</v>
      </c>
      <c r="D203" s="11" t="s">
        <v>482</v>
      </c>
      <c r="E203" s="33"/>
      <c r="F203" s="35">
        <v>1</v>
      </c>
      <c r="H203" s="138">
        <v>2097</v>
      </c>
      <c r="I203" s="14">
        <f>$H203/$F203</f>
        <v>2097</v>
      </c>
    </row>
    <row r="204" spans="5:6" ht="12.75" customHeight="1">
      <c r="E204" s="33"/>
      <c r="F204" s="35"/>
    </row>
    <row r="205" spans="1:9" ht="12.75" customHeight="1">
      <c r="A205" s="1" t="s">
        <v>13</v>
      </c>
      <c r="B205" s="5">
        <v>2004</v>
      </c>
      <c r="D205" s="11" t="s">
        <v>482</v>
      </c>
      <c r="E205" s="33"/>
      <c r="F205" s="35">
        <v>1</v>
      </c>
      <c r="H205" s="138">
        <v>3409</v>
      </c>
      <c r="I205" s="14">
        <f>$H205/$F205</f>
        <v>3409</v>
      </c>
    </row>
    <row r="206" spans="5:6" ht="12.75" customHeight="1">
      <c r="E206" s="33"/>
      <c r="F206" s="35"/>
    </row>
    <row r="207" spans="1:9" ht="12.75" customHeight="1">
      <c r="A207" s="1" t="s">
        <v>256</v>
      </c>
      <c r="B207" s="5">
        <v>2003</v>
      </c>
      <c r="C207" s="1" t="s">
        <v>266</v>
      </c>
      <c r="D207" s="1" t="s">
        <v>42</v>
      </c>
      <c r="E207" s="5"/>
      <c r="F207" s="14">
        <v>0.004</v>
      </c>
      <c r="G207" s="86" t="s">
        <v>10</v>
      </c>
      <c r="H207" s="139" t="s">
        <v>71</v>
      </c>
      <c r="I207" s="59" t="s">
        <v>71</v>
      </c>
    </row>
    <row r="208" spans="1:9" ht="12.75" customHeight="1">
      <c r="A208" s="1" t="s">
        <v>256</v>
      </c>
      <c r="B208" s="5">
        <v>2003</v>
      </c>
      <c r="C208" s="1" t="s">
        <v>267</v>
      </c>
      <c r="D208" s="1"/>
      <c r="E208" s="5"/>
      <c r="F208" s="14">
        <v>0</v>
      </c>
      <c r="G208" s="86" t="s">
        <v>10</v>
      </c>
      <c r="H208" s="139" t="s">
        <v>71</v>
      </c>
      <c r="I208" s="59" t="s">
        <v>71</v>
      </c>
    </row>
    <row r="209" spans="5:6" ht="12.75" customHeight="1">
      <c r="E209" s="33"/>
      <c r="F209" s="35"/>
    </row>
    <row r="210" spans="1:9" ht="12.75" customHeight="1">
      <c r="A210" s="1" t="s">
        <v>256</v>
      </c>
      <c r="B210" s="5">
        <v>2003</v>
      </c>
      <c r="C210" s="1" t="s">
        <v>266</v>
      </c>
      <c r="D210" s="1" t="s">
        <v>42</v>
      </c>
      <c r="E210" s="5"/>
      <c r="F210" s="14">
        <v>0.004</v>
      </c>
      <c r="G210" s="86" t="s">
        <v>10</v>
      </c>
      <c r="H210" s="138">
        <f>56.652/0.5823</f>
        <v>97.29005667181865</v>
      </c>
      <c r="I210" s="14">
        <f>$H210/$F210</f>
        <v>24322.51416795466</v>
      </c>
    </row>
    <row r="211" spans="1:9" ht="12.75" customHeight="1">
      <c r="A211" s="1" t="s">
        <v>256</v>
      </c>
      <c r="B211" s="5">
        <v>2003</v>
      </c>
      <c r="C211" s="1" t="s">
        <v>269</v>
      </c>
      <c r="D211" s="1"/>
      <c r="E211" s="5"/>
      <c r="F211" s="14">
        <v>0.001</v>
      </c>
      <c r="G211" s="86" t="s">
        <v>10</v>
      </c>
      <c r="H211" s="138">
        <f>1.778/0.5823</f>
        <v>3.0534088957582</v>
      </c>
      <c r="I211" s="14">
        <f>$H211/$F211</f>
        <v>3053.4088957582003</v>
      </c>
    </row>
    <row r="212" spans="5:6" ht="12.75" customHeight="1">
      <c r="E212" s="33"/>
      <c r="F212" s="35"/>
    </row>
    <row r="213" spans="1:9" ht="12.75" customHeight="1">
      <c r="A213" s="1" t="s">
        <v>55</v>
      </c>
      <c r="B213" s="5">
        <v>2003</v>
      </c>
      <c r="C213" s="5" t="s">
        <v>61</v>
      </c>
      <c r="D213" s="1" t="s">
        <v>42</v>
      </c>
      <c r="E213" s="5"/>
      <c r="F213" s="14">
        <v>0.002</v>
      </c>
      <c r="G213" s="86" t="s">
        <v>10</v>
      </c>
      <c r="H213" s="138">
        <f>16/7.0802</f>
        <v>2.2598231688370385</v>
      </c>
      <c r="I213" s="14">
        <f>$H213/$F213</f>
        <v>1129.9115844185192</v>
      </c>
    </row>
    <row r="214" spans="1:9" ht="12.75" customHeight="1">
      <c r="A214" s="1" t="s">
        <v>55</v>
      </c>
      <c r="B214" s="5">
        <v>2003</v>
      </c>
      <c r="C214" s="5" t="s">
        <v>44</v>
      </c>
      <c r="D214" s="1"/>
      <c r="E214" s="5"/>
      <c r="F214" s="14">
        <v>0.006</v>
      </c>
      <c r="G214" s="86" t="s">
        <v>10</v>
      </c>
      <c r="H214" s="138">
        <f>75/7.0802</f>
        <v>10.592921103923619</v>
      </c>
      <c r="I214" s="14">
        <f>$H214/$F214</f>
        <v>1765.4868506539365</v>
      </c>
    </row>
    <row r="215" spans="1:9" ht="12.75" customHeight="1">
      <c r="A215" s="1" t="s">
        <v>55</v>
      </c>
      <c r="B215" s="5">
        <v>2003</v>
      </c>
      <c r="C215" s="5" t="s">
        <v>46</v>
      </c>
      <c r="D215" s="1"/>
      <c r="E215" s="5"/>
      <c r="F215" s="14">
        <v>0.148</v>
      </c>
      <c r="G215" s="86" t="s">
        <v>10</v>
      </c>
      <c r="H215" s="138">
        <f>20/7.0802</f>
        <v>2.8247789610462983</v>
      </c>
      <c r="I215" s="59" t="s">
        <v>71</v>
      </c>
    </row>
    <row r="216" spans="1:9" ht="12.75" customHeight="1">
      <c r="A216" s="1" t="s">
        <v>55</v>
      </c>
      <c r="B216" s="5">
        <v>2003</v>
      </c>
      <c r="C216" s="5" t="s">
        <v>45</v>
      </c>
      <c r="D216" s="1"/>
      <c r="E216" s="5"/>
      <c r="F216" s="14">
        <v>0.007</v>
      </c>
      <c r="G216" s="86" t="s">
        <v>10</v>
      </c>
      <c r="H216" s="138">
        <f>37/7.0802</f>
        <v>5.225841077935652</v>
      </c>
      <c r="I216" s="14">
        <f>$H216/$F216</f>
        <v>746.5487254193788</v>
      </c>
    </row>
    <row r="217" spans="5:6" ht="12.75" customHeight="1">
      <c r="E217" s="33"/>
      <c r="F217" s="35"/>
    </row>
    <row r="218" spans="1:9" ht="12.75" customHeight="1">
      <c r="A218" s="1" t="s">
        <v>55</v>
      </c>
      <c r="B218" s="5">
        <v>2004</v>
      </c>
      <c r="C218" s="5" t="s">
        <v>44</v>
      </c>
      <c r="D218" s="1" t="s">
        <v>42</v>
      </c>
      <c r="E218" s="5"/>
      <c r="F218" s="14">
        <v>0.007</v>
      </c>
      <c r="G218" s="86" t="s">
        <v>10</v>
      </c>
      <c r="H218" s="138">
        <f>47/6.7408</f>
        <v>6.972466176121529</v>
      </c>
      <c r="I218" s="14">
        <f>$H218/$F218</f>
        <v>996.0665965887898</v>
      </c>
    </row>
    <row r="219" spans="1:9" ht="12.75" customHeight="1">
      <c r="A219" s="1" t="s">
        <v>55</v>
      </c>
      <c r="B219" s="5">
        <v>2004</v>
      </c>
      <c r="C219" s="5" t="s">
        <v>45</v>
      </c>
      <c r="D219" s="1"/>
      <c r="E219" s="5"/>
      <c r="F219" s="14">
        <v>0.05</v>
      </c>
      <c r="G219" s="86" t="s">
        <v>10</v>
      </c>
      <c r="H219" s="138">
        <f>90/6.7408</f>
        <v>13.351530975551864</v>
      </c>
      <c r="I219" s="14">
        <f>$H219/$F219</f>
        <v>267.03061951103723</v>
      </c>
    </row>
    <row r="220" spans="5:6" ht="3" customHeight="1">
      <c r="E220" s="33"/>
      <c r="F220" s="35"/>
    </row>
    <row r="221" spans="1:9" ht="12.75" customHeight="1">
      <c r="A221" s="1" t="s">
        <v>77</v>
      </c>
      <c r="B221" s="5">
        <v>2003</v>
      </c>
      <c r="C221" s="5" t="s">
        <v>629</v>
      </c>
      <c r="D221" s="1" t="s">
        <v>42</v>
      </c>
      <c r="E221" s="5"/>
      <c r="F221" s="14">
        <v>0</v>
      </c>
      <c r="G221" s="294" t="s">
        <v>10</v>
      </c>
      <c r="H221" s="295">
        <v>38</v>
      </c>
      <c r="I221" s="257" t="s">
        <v>71</v>
      </c>
    </row>
    <row r="222" spans="1:9" ht="12.75" customHeight="1">
      <c r="A222" s="1" t="s">
        <v>77</v>
      </c>
      <c r="B222" s="5">
        <v>2003</v>
      </c>
      <c r="C222" s="5" t="s">
        <v>631</v>
      </c>
      <c r="D222" s="1"/>
      <c r="E222" s="5"/>
      <c r="F222" s="14">
        <v>0</v>
      </c>
      <c r="G222" s="294" t="s">
        <v>10</v>
      </c>
      <c r="H222" s="127">
        <v>10</v>
      </c>
      <c r="I222" s="257" t="s">
        <v>71</v>
      </c>
    </row>
    <row r="223" spans="1:9" ht="12.75" customHeight="1">
      <c r="A223" s="1" t="s">
        <v>77</v>
      </c>
      <c r="B223" s="5">
        <v>2003</v>
      </c>
      <c r="C223" s="1"/>
      <c r="D223" s="1" t="s">
        <v>482</v>
      </c>
      <c r="E223" s="5"/>
      <c r="F223" s="14">
        <v>0</v>
      </c>
      <c r="G223" s="294" t="s">
        <v>10</v>
      </c>
      <c r="H223" s="258">
        <v>108</v>
      </c>
      <c r="I223" s="257" t="s">
        <v>71</v>
      </c>
    </row>
    <row r="224" spans="3:9" ht="12.75" customHeight="1">
      <c r="C224" s="50"/>
      <c r="D224" s="1"/>
      <c r="E224" s="5"/>
      <c r="G224" s="294"/>
      <c r="H224" s="295"/>
      <c r="I224" s="296"/>
    </row>
    <row r="225" spans="1:9" ht="12.75" customHeight="1">
      <c r="A225" s="1" t="s">
        <v>77</v>
      </c>
      <c r="B225" s="5">
        <v>2004</v>
      </c>
      <c r="C225" s="5" t="s">
        <v>627</v>
      </c>
      <c r="D225" s="1" t="s">
        <v>42</v>
      </c>
      <c r="E225" s="5"/>
      <c r="F225" s="14">
        <v>0</v>
      </c>
      <c r="G225" s="294" t="s">
        <v>10</v>
      </c>
      <c r="H225" s="295"/>
      <c r="I225" s="257" t="s">
        <v>71</v>
      </c>
    </row>
    <row r="226" spans="1:9" ht="12.75" customHeight="1">
      <c r="A226" s="1" t="s">
        <v>77</v>
      </c>
      <c r="B226" s="5">
        <v>2004</v>
      </c>
      <c r="C226" s="5" t="s">
        <v>631</v>
      </c>
      <c r="D226" s="1"/>
      <c r="E226" s="5"/>
      <c r="F226" s="14">
        <v>0</v>
      </c>
      <c r="G226" s="294" t="s">
        <v>10</v>
      </c>
      <c r="H226" s="139">
        <v>161</v>
      </c>
      <c r="I226" s="257" t="s">
        <v>71</v>
      </c>
    </row>
    <row r="227" spans="1:9" ht="12.75" customHeight="1">
      <c r="A227" s="1" t="s">
        <v>77</v>
      </c>
      <c r="B227" s="5">
        <v>2004</v>
      </c>
      <c r="C227" s="1"/>
      <c r="D227" s="1" t="s">
        <v>482</v>
      </c>
      <c r="F227" s="14">
        <v>0</v>
      </c>
      <c r="G227" s="294" t="s">
        <v>10</v>
      </c>
      <c r="H227" s="141">
        <v>33</v>
      </c>
      <c r="I227" s="257" t="s">
        <v>71</v>
      </c>
    </row>
    <row r="228" spans="3:9" ht="12.75" customHeight="1">
      <c r="C228" s="1"/>
      <c r="D228" s="1"/>
      <c r="H228" s="141"/>
      <c r="I228" s="57"/>
    </row>
    <row r="229" spans="1:9" ht="12.75" customHeight="1">
      <c r="A229" s="297" t="s">
        <v>165</v>
      </c>
      <c r="B229" s="298">
        <v>2003</v>
      </c>
      <c r="C229" s="297" t="s">
        <v>632</v>
      </c>
      <c r="D229" s="297" t="s">
        <v>42</v>
      </c>
      <c r="E229" s="299"/>
      <c r="F229" s="61">
        <f>(18/35.413)*19.763</f>
        <v>10.045294101036344</v>
      </c>
      <c r="G229" s="94" t="s">
        <v>311</v>
      </c>
      <c r="H229" s="300">
        <f>4897.112</f>
        <v>4897.112</v>
      </c>
      <c r="I229" s="61">
        <f>$H229/$F229</f>
        <v>487.50309853992025</v>
      </c>
    </row>
    <row r="230" spans="1:9" ht="12.75" customHeight="1">
      <c r="A230" s="297" t="s">
        <v>165</v>
      </c>
      <c r="B230" s="298">
        <v>2003</v>
      </c>
      <c r="C230" s="297" t="s">
        <v>633</v>
      </c>
      <c r="D230" s="297"/>
      <c r="E230" s="299"/>
      <c r="F230" s="61">
        <f>(18/35.413)*15.65</f>
        <v>7.954705898963658</v>
      </c>
      <c r="G230" s="94" t="s">
        <v>311</v>
      </c>
      <c r="H230" s="300">
        <f>3919.304</f>
        <v>3919.304</v>
      </c>
      <c r="I230" s="61">
        <f>$H230/$F230</f>
        <v>492.702564969826</v>
      </c>
    </row>
    <row r="231" spans="1:9" ht="12.75" customHeight="1">
      <c r="A231" s="297"/>
      <c r="B231" s="298"/>
      <c r="C231" s="301"/>
      <c r="D231" s="302"/>
      <c r="E231" s="299"/>
      <c r="F231" s="61"/>
      <c r="G231" s="94"/>
      <c r="I231" s="61"/>
    </row>
    <row r="232" spans="1:9" ht="12.75" customHeight="1">
      <c r="A232" s="297" t="s">
        <v>165</v>
      </c>
      <c r="B232" s="298">
        <v>2004</v>
      </c>
      <c r="C232" s="297" t="s">
        <v>632</v>
      </c>
      <c r="D232" s="297" t="s">
        <v>42</v>
      </c>
      <c r="E232" s="299"/>
      <c r="F232" s="61">
        <f>(27/50.885)*29.141</f>
        <v>15.462454554387344</v>
      </c>
      <c r="G232" s="94" t="s">
        <v>311</v>
      </c>
      <c r="H232" s="300">
        <v>8968</v>
      </c>
      <c r="I232" s="61">
        <f>$H232/$F232</f>
        <v>579.9855364784503</v>
      </c>
    </row>
    <row r="233" spans="1:9" ht="12.75" customHeight="1">
      <c r="A233" s="297" t="s">
        <v>165</v>
      </c>
      <c r="B233" s="298">
        <v>2004</v>
      </c>
      <c r="C233" s="297" t="s">
        <v>633</v>
      </c>
      <c r="D233" s="297"/>
      <c r="E233" s="299"/>
      <c r="F233" s="61">
        <f>(27/50.885)*21.744</f>
        <v>11.537545445612658</v>
      </c>
      <c r="G233" s="94" t="s">
        <v>311</v>
      </c>
      <c r="H233" s="300">
        <v>4229</v>
      </c>
      <c r="I233" s="61">
        <f>$H233/$F233</f>
        <v>366.54243486496057</v>
      </c>
    </row>
  </sheetData>
  <mergeCells count="36">
    <mergeCell ref="F181:F183"/>
    <mergeCell ref="H181:H183"/>
    <mergeCell ref="I181:I183"/>
    <mergeCell ref="I150:I152"/>
    <mergeCell ref="H162:H164"/>
    <mergeCell ref="I162:I164"/>
    <mergeCell ref="F156:F160"/>
    <mergeCell ref="H156:H160"/>
    <mergeCell ref="I172:I179"/>
    <mergeCell ref="I156:I160"/>
    <mergeCell ref="I144:I148"/>
    <mergeCell ref="I8:I12"/>
    <mergeCell ref="I128:I129"/>
    <mergeCell ref="G128:G129"/>
    <mergeCell ref="H128:H129"/>
    <mergeCell ref="I137:I138"/>
    <mergeCell ref="F8:F12"/>
    <mergeCell ref="G8:G12"/>
    <mergeCell ref="H8:H12"/>
    <mergeCell ref="F128:F129"/>
    <mergeCell ref="F137:F138"/>
    <mergeCell ref="G137:G138"/>
    <mergeCell ref="H137:H138"/>
    <mergeCell ref="F172:F179"/>
    <mergeCell ref="H172:H179"/>
    <mergeCell ref="F150:F152"/>
    <mergeCell ref="H150:H152"/>
    <mergeCell ref="F144:F148"/>
    <mergeCell ref="H144:H148"/>
    <mergeCell ref="F162:F164"/>
    <mergeCell ref="F188:F195"/>
    <mergeCell ref="H188:H195"/>
    <mergeCell ref="I188:I195"/>
    <mergeCell ref="F197:F199"/>
    <mergeCell ref="H197:H199"/>
    <mergeCell ref="I197:I199"/>
  </mergeCells>
  <printOptions horizontalCentered="1"/>
  <pageMargins left="0.5905511811023623" right="0.5905511811023623" top="0.7874015748031497" bottom="0.5905511811023623" header="0.5118110236220472" footer="0.5118110236220472"/>
  <pageSetup fitToHeight="25" horizontalDpi="600" verticalDpi="600" orientation="portrait" paperSize="9" scale="93" r:id="rId3"/>
  <rowBreaks count="3" manualBreakCount="3">
    <brk id="59" max="8" man="1"/>
    <brk id="120" max="8" man="1"/>
    <brk id="186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3"/>
  <sheetViews>
    <sheetView view="pageBreakPreview" zoomScale="115" zoomScaleNormal="90" zoomScaleSheetLayoutView="115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" width="5.8515625" style="5" customWidth="1"/>
    <col min="3" max="3" width="28.421875" style="3" customWidth="1"/>
    <col min="4" max="4" width="23.8515625" style="11" customWidth="1"/>
    <col min="5" max="5" width="1.7109375" style="11" customWidth="1"/>
    <col min="6" max="6" width="8.7109375" style="35" customWidth="1"/>
    <col min="7" max="7" width="3.140625" style="86" customWidth="1"/>
    <col min="8" max="8" width="9.57421875" style="138" hidden="1" customWidth="1"/>
    <col min="9" max="9" width="8.7109375" style="14" customWidth="1"/>
    <col min="10" max="10" width="19.57421875" style="1" customWidth="1"/>
    <col min="11" max="11" width="4.7109375" style="1" customWidth="1"/>
    <col min="12" max="16384" width="9.140625" style="1" customWidth="1"/>
  </cols>
  <sheetData>
    <row r="1" spans="1:10" s="58" customFormat="1" ht="19.5" customHeight="1">
      <c r="A1" s="108" t="s">
        <v>40</v>
      </c>
      <c r="B1" s="108"/>
      <c r="C1" s="108"/>
      <c r="D1" s="108"/>
      <c r="E1" s="108"/>
      <c r="F1" s="108"/>
      <c r="G1" s="115"/>
      <c r="H1" s="142"/>
      <c r="I1" s="108"/>
      <c r="J1" s="23"/>
    </row>
    <row r="2" spans="1:9" ht="15.75">
      <c r="A2" s="6" t="s">
        <v>0</v>
      </c>
      <c r="B2" s="32" t="s">
        <v>31</v>
      </c>
      <c r="C2" s="6" t="s">
        <v>29</v>
      </c>
      <c r="D2" s="6" t="s">
        <v>41</v>
      </c>
      <c r="E2" s="6"/>
      <c r="F2" s="12" t="s">
        <v>1</v>
      </c>
      <c r="G2" s="117"/>
      <c r="H2" s="136" t="s">
        <v>2</v>
      </c>
      <c r="I2" s="12" t="s">
        <v>2</v>
      </c>
    </row>
    <row r="3" spans="1:9" ht="12.75" customHeight="1">
      <c r="A3" s="7"/>
      <c r="B3" s="30"/>
      <c r="C3" s="7" t="s">
        <v>28</v>
      </c>
      <c r="D3" s="7"/>
      <c r="E3" s="7"/>
      <c r="F3" s="13" t="s">
        <v>91</v>
      </c>
      <c r="G3" s="114"/>
      <c r="H3" s="131" t="s">
        <v>92</v>
      </c>
      <c r="I3" s="13" t="s">
        <v>92</v>
      </c>
    </row>
    <row r="4" spans="1:9" ht="3" customHeight="1">
      <c r="A4" s="8"/>
      <c r="B4" s="22"/>
      <c r="C4" s="8"/>
      <c r="D4" s="8"/>
      <c r="E4" s="8"/>
      <c r="F4" s="18"/>
      <c r="G4" s="79"/>
      <c r="H4" s="130"/>
      <c r="I4" s="18"/>
    </row>
    <row r="5" spans="1:9" ht="12.75" customHeight="1">
      <c r="A5" s="1" t="s">
        <v>17</v>
      </c>
      <c r="B5" s="22">
        <v>2003</v>
      </c>
      <c r="C5" s="31" t="s">
        <v>4</v>
      </c>
      <c r="D5" s="75" t="s">
        <v>447</v>
      </c>
      <c r="E5" s="10"/>
      <c r="F5" s="82">
        <v>8.324</v>
      </c>
      <c r="H5" s="124">
        <f>9585000</f>
        <v>9585000</v>
      </c>
      <c r="I5" s="29">
        <f>$H5/$F5/1000</f>
        <v>1151.48966842864</v>
      </c>
    </row>
    <row r="6" spans="1:9" ht="12.75" customHeight="1">
      <c r="A6" s="1" t="s">
        <v>17</v>
      </c>
      <c r="B6" s="22">
        <v>2003</v>
      </c>
      <c r="C6" s="3" t="s">
        <v>514</v>
      </c>
      <c r="D6" s="11" t="s">
        <v>515</v>
      </c>
      <c r="E6" s="10"/>
      <c r="F6" s="82">
        <v>4.08</v>
      </c>
      <c r="H6" s="124">
        <f>4626000</f>
        <v>4626000</v>
      </c>
      <c r="I6" s="29">
        <f>$H6/$F6/1000</f>
        <v>1133.8235294117646</v>
      </c>
    </row>
    <row r="7" spans="1:9" ht="12.75" customHeight="1">
      <c r="A7" s="1" t="s">
        <v>17</v>
      </c>
      <c r="B7" s="22">
        <v>2003</v>
      </c>
      <c r="D7" s="11" t="s">
        <v>482</v>
      </c>
      <c r="E7" s="10"/>
      <c r="F7" s="82">
        <v>0.04</v>
      </c>
      <c r="G7" s="86" t="s">
        <v>10</v>
      </c>
      <c r="H7" s="124">
        <v>505000</v>
      </c>
      <c r="I7" s="29">
        <f>$H7/$F7/1000</f>
        <v>12625</v>
      </c>
    </row>
    <row r="8" spans="2:9" ht="12.75" customHeight="1">
      <c r="B8" s="22"/>
      <c r="E8" s="10"/>
      <c r="F8" s="82"/>
      <c r="H8" s="124"/>
      <c r="I8" s="29"/>
    </row>
    <row r="9" spans="1:9" ht="12.75" customHeight="1">
      <c r="A9" s="1" t="s">
        <v>17</v>
      </c>
      <c r="B9" s="22">
        <v>2004</v>
      </c>
      <c r="C9" s="3" t="s">
        <v>11</v>
      </c>
      <c r="D9" s="11" t="s">
        <v>517</v>
      </c>
      <c r="E9" s="242"/>
      <c r="F9" s="331">
        <f>10.223+3.647+2.66+3.525</f>
        <v>20.055</v>
      </c>
      <c r="G9" s="303"/>
      <c r="H9" s="363">
        <v>22600000</v>
      </c>
      <c r="I9" s="365">
        <f>$H9/$F9/1000</f>
        <v>1126.9010221889803</v>
      </c>
    </row>
    <row r="10" spans="1:9" ht="12.75" customHeight="1">
      <c r="A10" s="1" t="s">
        <v>17</v>
      </c>
      <c r="B10" s="22">
        <v>2004</v>
      </c>
      <c r="C10" s="3" t="s">
        <v>514</v>
      </c>
      <c r="D10" s="11" t="s">
        <v>515</v>
      </c>
      <c r="E10" s="243"/>
      <c r="F10" s="331"/>
      <c r="G10" s="303"/>
      <c r="H10" s="363"/>
      <c r="I10" s="365"/>
    </row>
    <row r="11" spans="1:9" ht="12.75" customHeight="1">
      <c r="A11" s="1" t="s">
        <v>17</v>
      </c>
      <c r="B11" s="22">
        <v>2004</v>
      </c>
      <c r="C11" s="3" t="s">
        <v>7</v>
      </c>
      <c r="D11" s="11" t="s">
        <v>516</v>
      </c>
      <c r="E11" s="243"/>
      <c r="F11" s="331"/>
      <c r="G11" s="303"/>
      <c r="H11" s="363"/>
      <c r="I11" s="365"/>
    </row>
    <row r="12" spans="1:9" ht="12.75" customHeight="1">
      <c r="A12" s="1" t="s">
        <v>17</v>
      </c>
      <c r="B12" s="22">
        <v>2004</v>
      </c>
      <c r="C12" s="31" t="s">
        <v>4</v>
      </c>
      <c r="D12" s="75" t="s">
        <v>447</v>
      </c>
      <c r="E12" s="244"/>
      <c r="F12" s="331"/>
      <c r="H12" s="363"/>
      <c r="I12" s="365"/>
    </row>
    <row r="13" spans="2:9" ht="12.75" customHeight="1">
      <c r="B13" s="22"/>
      <c r="E13" s="10"/>
      <c r="F13" s="82"/>
      <c r="H13" s="124"/>
      <c r="I13" s="29"/>
    </row>
    <row r="14" spans="1:9" ht="12.75" customHeight="1">
      <c r="A14" s="1" t="s">
        <v>685</v>
      </c>
      <c r="B14" s="22">
        <v>2003</v>
      </c>
      <c r="C14" s="3" t="s">
        <v>4</v>
      </c>
      <c r="D14" s="11" t="s">
        <v>394</v>
      </c>
      <c r="E14" s="10"/>
      <c r="F14" s="82">
        <v>0.6</v>
      </c>
      <c r="H14" s="124">
        <f>319/3768*2888.17</f>
        <v>244.5133306794055</v>
      </c>
      <c r="I14" s="29">
        <f>$H14/$F14</f>
        <v>407.5222177990092</v>
      </c>
    </row>
    <row r="15" spans="1:9" ht="12.75" customHeight="1">
      <c r="A15" s="1" t="s">
        <v>685</v>
      </c>
      <c r="B15" s="22">
        <v>2003</v>
      </c>
      <c r="C15" s="3" t="s">
        <v>3</v>
      </c>
      <c r="D15" s="11" t="s">
        <v>325</v>
      </c>
      <c r="E15" s="10"/>
      <c r="F15" s="82">
        <v>0.2</v>
      </c>
      <c r="G15" s="86" t="s">
        <v>10</v>
      </c>
      <c r="H15" s="124">
        <f>319/3768*879.929</f>
        <v>74.49505069002123</v>
      </c>
      <c r="I15" s="29">
        <f>$H15/$F15</f>
        <v>372.47525345010615</v>
      </c>
    </row>
    <row r="16" spans="2:9" ht="12.75" customHeight="1">
      <c r="B16" s="22"/>
      <c r="E16" s="10"/>
      <c r="F16" s="82"/>
      <c r="H16" s="124"/>
      <c r="I16" s="29"/>
    </row>
    <row r="17" spans="1:9" ht="12.75" customHeight="1">
      <c r="A17" s="8" t="s">
        <v>186</v>
      </c>
      <c r="B17" s="22">
        <v>2003</v>
      </c>
      <c r="C17" s="3" t="s">
        <v>548</v>
      </c>
      <c r="D17" s="1" t="s">
        <v>547</v>
      </c>
      <c r="E17" s="10"/>
      <c r="F17" s="304">
        <f>895/1000</f>
        <v>0.895</v>
      </c>
      <c r="G17" s="94" t="s">
        <v>311</v>
      </c>
      <c r="H17" s="124">
        <v>317</v>
      </c>
      <c r="I17" s="231">
        <f>$H17/$F17</f>
        <v>354.1899441340782</v>
      </c>
    </row>
    <row r="18" spans="1:9" ht="12.75" customHeight="1">
      <c r="A18" s="8" t="s">
        <v>186</v>
      </c>
      <c r="B18" s="22">
        <v>2003</v>
      </c>
      <c r="C18" s="3" t="s">
        <v>66</v>
      </c>
      <c r="D18" s="1" t="s">
        <v>400</v>
      </c>
      <c r="E18" s="10"/>
      <c r="F18" s="304">
        <f>570/1000</f>
        <v>0.57</v>
      </c>
      <c r="G18" s="94" t="s">
        <v>311</v>
      </c>
      <c r="H18" s="124">
        <v>190</v>
      </c>
      <c r="I18" s="231">
        <f aca="true" t="shared" si="0" ref="I18:I27">$H18/$F18</f>
        <v>333.33333333333337</v>
      </c>
    </row>
    <row r="19" spans="1:9" ht="12.75" customHeight="1">
      <c r="A19" s="8" t="s">
        <v>186</v>
      </c>
      <c r="B19" s="22">
        <v>2003</v>
      </c>
      <c r="C19" s="31" t="s">
        <v>76</v>
      </c>
      <c r="D19" s="24" t="s">
        <v>451</v>
      </c>
      <c r="E19" s="10"/>
      <c r="F19" s="304">
        <f>565/1000</f>
        <v>0.565</v>
      </c>
      <c r="G19" s="94" t="s">
        <v>311</v>
      </c>
      <c r="H19" s="124">
        <v>188</v>
      </c>
      <c r="I19" s="231">
        <f t="shared" si="0"/>
        <v>332.74336283185846</v>
      </c>
    </row>
    <row r="20" spans="1:9" ht="12.75" customHeight="1">
      <c r="A20" s="8" t="s">
        <v>186</v>
      </c>
      <c r="B20" s="22">
        <v>2003</v>
      </c>
      <c r="C20" s="3" t="s">
        <v>544</v>
      </c>
      <c r="D20" s="1" t="s">
        <v>545</v>
      </c>
      <c r="E20" s="10"/>
      <c r="F20" s="304">
        <f>745/1000</f>
        <v>0.745</v>
      </c>
      <c r="G20" s="94" t="s">
        <v>311</v>
      </c>
      <c r="H20" s="124">
        <v>248</v>
      </c>
      <c r="I20" s="231">
        <f t="shared" si="0"/>
        <v>332.8859060402685</v>
      </c>
    </row>
    <row r="21" spans="1:9" ht="12.75" customHeight="1">
      <c r="A21" s="8" t="s">
        <v>186</v>
      </c>
      <c r="B21" s="22">
        <v>2003</v>
      </c>
      <c r="D21" s="11" t="s">
        <v>482</v>
      </c>
      <c r="E21" s="10"/>
      <c r="F21" s="304">
        <f>3583/10000</f>
        <v>0.3583</v>
      </c>
      <c r="G21" s="94" t="s">
        <v>307</v>
      </c>
      <c r="H21" s="124">
        <v>545</v>
      </c>
      <c r="I21" s="231">
        <f t="shared" si="0"/>
        <v>1521.0717276025678</v>
      </c>
    </row>
    <row r="22" spans="1:9" ht="12.75" customHeight="1">
      <c r="A22" s="8"/>
      <c r="B22" s="22"/>
      <c r="E22" s="10"/>
      <c r="F22" s="304"/>
      <c r="G22" s="94"/>
      <c r="H22" s="124"/>
      <c r="I22" s="231"/>
    </row>
    <row r="23" spans="1:9" ht="12.75" customHeight="1">
      <c r="A23" s="8" t="s">
        <v>186</v>
      </c>
      <c r="B23" s="22">
        <v>2004</v>
      </c>
      <c r="C23" s="3" t="s">
        <v>548</v>
      </c>
      <c r="D23" s="1" t="s">
        <v>547</v>
      </c>
      <c r="E23" s="10"/>
      <c r="F23" s="304">
        <f>2043/1000</f>
        <v>2.043</v>
      </c>
      <c r="G23" s="94" t="s">
        <v>311</v>
      </c>
      <c r="H23" s="124">
        <v>682</v>
      </c>
      <c r="I23" s="231">
        <f t="shared" si="0"/>
        <v>333.8228095937347</v>
      </c>
    </row>
    <row r="24" spans="1:9" ht="12.75" customHeight="1">
      <c r="A24" s="8" t="s">
        <v>186</v>
      </c>
      <c r="B24" s="22">
        <v>2004</v>
      </c>
      <c r="C24" s="3" t="s">
        <v>76</v>
      </c>
      <c r="D24" s="1" t="s">
        <v>451</v>
      </c>
      <c r="E24" s="10"/>
      <c r="F24" s="304">
        <f>746/1000</f>
        <v>0.746</v>
      </c>
      <c r="G24" s="94" t="s">
        <v>311</v>
      </c>
      <c r="H24" s="124">
        <v>248</v>
      </c>
      <c r="I24" s="231">
        <f t="shared" si="0"/>
        <v>332.4396782841823</v>
      </c>
    </row>
    <row r="25" spans="1:9" ht="12.75" customHeight="1">
      <c r="A25" s="8" t="s">
        <v>186</v>
      </c>
      <c r="B25" s="22">
        <v>2004</v>
      </c>
      <c r="C25" s="3" t="s">
        <v>544</v>
      </c>
      <c r="D25" s="1" t="s">
        <v>545</v>
      </c>
      <c r="E25" s="10"/>
      <c r="F25" s="304">
        <f>448/1000</f>
        <v>0.448</v>
      </c>
      <c r="G25" s="94" t="s">
        <v>307</v>
      </c>
      <c r="H25" s="124">
        <v>150</v>
      </c>
      <c r="I25" s="231">
        <f t="shared" si="0"/>
        <v>334.82142857142856</v>
      </c>
    </row>
    <row r="26" spans="1:9" ht="12.75" customHeight="1">
      <c r="A26" s="8" t="s">
        <v>186</v>
      </c>
      <c r="B26" s="22">
        <v>2004</v>
      </c>
      <c r="C26" s="3" t="s">
        <v>66</v>
      </c>
      <c r="D26" s="1" t="s">
        <v>400</v>
      </c>
      <c r="E26" s="10"/>
      <c r="F26" s="304">
        <f>283/1000</f>
        <v>0.283</v>
      </c>
      <c r="G26" s="94" t="s">
        <v>307</v>
      </c>
      <c r="H26" s="124">
        <v>95</v>
      </c>
      <c r="I26" s="231">
        <f t="shared" si="0"/>
        <v>335.6890459363958</v>
      </c>
    </row>
    <row r="27" spans="1:9" ht="12.75" customHeight="1">
      <c r="A27" s="8" t="s">
        <v>186</v>
      </c>
      <c r="B27" s="22">
        <v>2004</v>
      </c>
      <c r="D27" s="11" t="s">
        <v>482</v>
      </c>
      <c r="E27" s="10"/>
      <c r="F27" s="304">
        <f>7/10</f>
        <v>0.7</v>
      </c>
      <c r="G27" s="94" t="s">
        <v>311</v>
      </c>
      <c r="H27" s="124">
        <v>1209</v>
      </c>
      <c r="I27" s="231">
        <f t="shared" si="0"/>
        <v>1727.1428571428573</v>
      </c>
    </row>
    <row r="28" spans="2:9" ht="12.75" customHeight="1">
      <c r="B28" s="22"/>
      <c r="E28" s="10"/>
      <c r="F28" s="82"/>
      <c r="H28" s="124"/>
      <c r="I28" s="231"/>
    </row>
    <row r="29" spans="1:9" ht="12.75" customHeight="1">
      <c r="A29" s="24" t="s">
        <v>192</v>
      </c>
      <c r="B29" s="5">
        <v>2003</v>
      </c>
      <c r="C29" s="9" t="s">
        <v>6</v>
      </c>
      <c r="D29" s="27" t="s">
        <v>323</v>
      </c>
      <c r="E29" s="27"/>
      <c r="F29" s="90">
        <v>102.887</v>
      </c>
      <c r="G29" s="87"/>
      <c r="H29" s="128">
        <v>10815.044463179627</v>
      </c>
      <c r="I29" s="26">
        <f aca="true" t="shared" si="1" ref="I29:I50">$H29/$F29</f>
        <v>105.11575284710048</v>
      </c>
    </row>
    <row r="30" spans="1:9" ht="12.75" customHeight="1">
      <c r="A30" s="24"/>
      <c r="C30" s="9"/>
      <c r="D30" s="27"/>
      <c r="E30" s="27"/>
      <c r="F30" s="90"/>
      <c r="G30" s="87"/>
      <c r="H30" s="128"/>
      <c r="I30" s="26"/>
    </row>
    <row r="31" spans="1:9" ht="12.75" customHeight="1">
      <c r="A31" s="24" t="s">
        <v>192</v>
      </c>
      <c r="B31" s="5">
        <v>2004</v>
      </c>
      <c r="C31" s="9" t="s">
        <v>6</v>
      </c>
      <c r="D31" s="27" t="s">
        <v>323</v>
      </c>
      <c r="E31" s="27"/>
      <c r="F31" s="90">
        <v>36.874</v>
      </c>
      <c r="G31" s="87"/>
      <c r="H31" s="128">
        <v>4652.0617759521465</v>
      </c>
      <c r="I31" s="26">
        <f t="shared" si="1"/>
        <v>126.16102879948328</v>
      </c>
    </row>
    <row r="32" spans="2:9" ht="12.75" customHeight="1">
      <c r="B32" s="22"/>
      <c r="E32" s="10"/>
      <c r="F32" s="82"/>
      <c r="H32" s="124"/>
      <c r="I32" s="29"/>
    </row>
    <row r="33" spans="1:9" s="24" customFormat="1" ht="12.75" customHeight="1">
      <c r="A33" s="24" t="s">
        <v>21</v>
      </c>
      <c r="B33" s="5">
        <v>2003</v>
      </c>
      <c r="C33" s="28" t="s">
        <v>19</v>
      </c>
      <c r="D33" s="27" t="s">
        <v>429</v>
      </c>
      <c r="E33" s="27"/>
      <c r="F33" s="90">
        <v>61.048</v>
      </c>
      <c r="G33" s="87"/>
      <c r="H33" s="128">
        <v>17900.257</v>
      </c>
      <c r="I33" s="26">
        <f t="shared" si="1"/>
        <v>293.21610863582754</v>
      </c>
    </row>
    <row r="34" spans="1:9" s="24" customFormat="1" ht="12.75" customHeight="1">
      <c r="A34" s="24" t="s">
        <v>21</v>
      </c>
      <c r="B34" s="5">
        <v>2003</v>
      </c>
      <c r="C34" s="28" t="s">
        <v>16</v>
      </c>
      <c r="D34" s="27" t="s">
        <v>430</v>
      </c>
      <c r="E34" s="27"/>
      <c r="F34" s="90">
        <v>8.915</v>
      </c>
      <c r="G34" s="87"/>
      <c r="H34" s="128">
        <v>2820.944</v>
      </c>
      <c r="I34" s="26">
        <f t="shared" si="1"/>
        <v>316.4266965787998</v>
      </c>
    </row>
    <row r="35" spans="1:9" s="24" customFormat="1" ht="12.75" customHeight="1">
      <c r="A35" s="24" t="s">
        <v>21</v>
      </c>
      <c r="B35" s="5">
        <v>2003</v>
      </c>
      <c r="C35" s="31" t="s">
        <v>7</v>
      </c>
      <c r="D35" s="27" t="s">
        <v>442</v>
      </c>
      <c r="E35" s="27"/>
      <c r="F35" s="90">
        <v>1.578</v>
      </c>
      <c r="G35" s="87"/>
      <c r="H35" s="128">
        <v>579.798</v>
      </c>
      <c r="I35" s="26">
        <f t="shared" si="1"/>
        <v>367.42585551330797</v>
      </c>
    </row>
    <row r="36" spans="1:9" s="24" customFormat="1" ht="12.75" customHeight="1">
      <c r="A36" s="24" t="s">
        <v>21</v>
      </c>
      <c r="B36" s="5">
        <v>2003</v>
      </c>
      <c r="C36" s="28" t="s">
        <v>8</v>
      </c>
      <c r="D36" s="27" t="s">
        <v>327</v>
      </c>
      <c r="E36" s="27"/>
      <c r="F36" s="90">
        <v>0.517</v>
      </c>
      <c r="G36" s="87"/>
      <c r="H36" s="128">
        <v>170.764</v>
      </c>
      <c r="I36" s="26">
        <f t="shared" si="1"/>
        <v>330.29787234042556</v>
      </c>
    </row>
    <row r="37" spans="1:9" s="24" customFormat="1" ht="12.75" customHeight="1">
      <c r="A37" s="24" t="s">
        <v>21</v>
      </c>
      <c r="B37" s="5">
        <v>2003</v>
      </c>
      <c r="C37" s="28" t="s">
        <v>496</v>
      </c>
      <c r="D37" s="27" t="s">
        <v>494</v>
      </c>
      <c r="E37" s="27"/>
      <c r="F37" s="90">
        <v>0.195</v>
      </c>
      <c r="G37" s="87" t="s">
        <v>10</v>
      </c>
      <c r="H37" s="128">
        <v>59.834</v>
      </c>
      <c r="I37" s="26">
        <f t="shared" si="1"/>
        <v>306.8410256410256</v>
      </c>
    </row>
    <row r="38" spans="1:9" s="24" customFormat="1" ht="12.75" customHeight="1">
      <c r="A38" s="24" t="s">
        <v>21</v>
      </c>
      <c r="B38" s="5">
        <v>2003</v>
      </c>
      <c r="C38" s="28" t="s">
        <v>3</v>
      </c>
      <c r="D38" s="27" t="s">
        <v>331</v>
      </c>
      <c r="E38" s="27"/>
      <c r="F38" s="90">
        <v>0.322</v>
      </c>
      <c r="G38" s="87" t="s">
        <v>10</v>
      </c>
      <c r="H38" s="128">
        <v>132.826</v>
      </c>
      <c r="I38" s="26">
        <f t="shared" si="1"/>
        <v>412.5031055900621</v>
      </c>
    </row>
    <row r="39" spans="1:9" s="24" customFormat="1" ht="12.75" customHeight="1">
      <c r="A39" s="24" t="s">
        <v>21</v>
      </c>
      <c r="B39" s="5">
        <v>2003</v>
      </c>
      <c r="C39" s="28" t="s">
        <v>497</v>
      </c>
      <c r="D39" s="27" t="s">
        <v>495</v>
      </c>
      <c r="E39" s="27"/>
      <c r="F39" s="90">
        <v>0.023</v>
      </c>
      <c r="G39" s="87" t="s">
        <v>10</v>
      </c>
      <c r="H39" s="128">
        <v>9.149</v>
      </c>
      <c r="I39" s="26">
        <f t="shared" si="1"/>
        <v>397.78260869565213</v>
      </c>
    </row>
    <row r="40" spans="1:9" s="24" customFormat="1" ht="12.75" customHeight="1">
      <c r="A40" s="24" t="s">
        <v>21</v>
      </c>
      <c r="B40" s="5">
        <v>2003</v>
      </c>
      <c r="D40" s="24" t="s">
        <v>485</v>
      </c>
      <c r="F40" s="26">
        <v>7.076</v>
      </c>
      <c r="G40" s="87"/>
      <c r="H40" s="139">
        <v>2804.727</v>
      </c>
      <c r="I40" s="26">
        <f t="shared" si="1"/>
        <v>396.3718202374223</v>
      </c>
    </row>
    <row r="41" spans="2:9" s="24" customFormat="1" ht="12.75" customHeight="1">
      <c r="B41" s="5"/>
      <c r="F41" s="26"/>
      <c r="G41" s="87"/>
      <c r="H41" s="128"/>
      <c r="I41" s="26"/>
    </row>
    <row r="42" spans="1:9" s="24" customFormat="1" ht="12.75" customHeight="1">
      <c r="A42" s="24" t="s">
        <v>21</v>
      </c>
      <c r="B42" s="5">
        <v>2004</v>
      </c>
      <c r="C42" s="28" t="s">
        <v>19</v>
      </c>
      <c r="D42" s="27" t="s">
        <v>429</v>
      </c>
      <c r="E42" s="27"/>
      <c r="F42" s="90">
        <v>53.549</v>
      </c>
      <c r="G42" s="87"/>
      <c r="H42" s="128">
        <v>15630.133</v>
      </c>
      <c r="I42" s="26">
        <f t="shared" si="1"/>
        <v>291.8846850548096</v>
      </c>
    </row>
    <row r="43" spans="1:9" s="24" customFormat="1" ht="12.75" customHeight="1">
      <c r="A43" s="24" t="s">
        <v>21</v>
      </c>
      <c r="B43" s="5">
        <v>2004</v>
      </c>
      <c r="C43" s="28" t="s">
        <v>16</v>
      </c>
      <c r="D43" s="27" t="s">
        <v>430</v>
      </c>
      <c r="E43" s="27"/>
      <c r="F43" s="90">
        <v>10.109</v>
      </c>
      <c r="G43" s="87"/>
      <c r="H43" s="128">
        <v>3158.939</v>
      </c>
      <c r="I43" s="26">
        <f t="shared" si="1"/>
        <v>312.48778316351763</v>
      </c>
    </row>
    <row r="44" spans="1:9" s="24" customFormat="1" ht="12.75" customHeight="1">
      <c r="A44" s="24" t="s">
        <v>21</v>
      </c>
      <c r="B44" s="5">
        <v>2004</v>
      </c>
      <c r="C44" s="31" t="s">
        <v>7</v>
      </c>
      <c r="D44" s="27" t="s">
        <v>442</v>
      </c>
      <c r="E44" s="27"/>
      <c r="F44" s="90">
        <v>1.916</v>
      </c>
      <c r="G44" s="87"/>
      <c r="H44" s="128">
        <v>688.743</v>
      </c>
      <c r="I44" s="26">
        <f t="shared" si="1"/>
        <v>359.4692066805846</v>
      </c>
    </row>
    <row r="45" spans="1:9" s="24" customFormat="1" ht="12.75" customHeight="1">
      <c r="A45" s="24" t="s">
        <v>21</v>
      </c>
      <c r="B45" s="5">
        <v>2004</v>
      </c>
      <c r="C45" s="28" t="s">
        <v>8</v>
      </c>
      <c r="D45" s="27" t="s">
        <v>327</v>
      </c>
      <c r="E45" s="27"/>
      <c r="F45" s="90">
        <v>1.498</v>
      </c>
      <c r="G45" s="87"/>
      <c r="H45" s="128">
        <v>524.077</v>
      </c>
      <c r="I45" s="26">
        <f t="shared" si="1"/>
        <v>349.85113484646195</v>
      </c>
    </row>
    <row r="46" spans="1:9" s="24" customFormat="1" ht="12.75" customHeight="1">
      <c r="A46" s="24" t="s">
        <v>21</v>
      </c>
      <c r="B46" s="5">
        <v>2004</v>
      </c>
      <c r="C46" s="28" t="s">
        <v>496</v>
      </c>
      <c r="D46" s="27" t="s">
        <v>494</v>
      </c>
      <c r="E46" s="27"/>
      <c r="F46" s="90">
        <v>1.079</v>
      </c>
      <c r="G46" s="87"/>
      <c r="H46" s="128">
        <v>430.15</v>
      </c>
      <c r="I46" s="26">
        <f t="shared" si="1"/>
        <v>398.6561631139944</v>
      </c>
    </row>
    <row r="47" spans="1:9" s="24" customFormat="1" ht="12.75" customHeight="1">
      <c r="A47" s="24" t="s">
        <v>21</v>
      </c>
      <c r="B47" s="5">
        <v>2004</v>
      </c>
      <c r="C47" s="28" t="s">
        <v>43</v>
      </c>
      <c r="D47" s="27" t="s">
        <v>351</v>
      </c>
      <c r="E47" s="27"/>
      <c r="F47" s="90">
        <v>0.957</v>
      </c>
      <c r="G47" s="87"/>
      <c r="H47" s="128">
        <v>350.801</v>
      </c>
      <c r="I47" s="26">
        <f t="shared" si="1"/>
        <v>366.5632183908046</v>
      </c>
    </row>
    <row r="48" spans="1:9" s="24" customFormat="1" ht="12.75" customHeight="1">
      <c r="A48" s="24" t="s">
        <v>21</v>
      </c>
      <c r="B48" s="5">
        <v>2004</v>
      </c>
      <c r="C48" s="28" t="s">
        <v>3</v>
      </c>
      <c r="D48" s="27" t="s">
        <v>331</v>
      </c>
      <c r="E48" s="27"/>
      <c r="F48" s="90">
        <v>0.946</v>
      </c>
      <c r="G48" s="87"/>
      <c r="H48" s="128">
        <v>328.453</v>
      </c>
      <c r="I48" s="26">
        <f t="shared" si="1"/>
        <v>347.20190274841434</v>
      </c>
    </row>
    <row r="49" spans="1:9" s="24" customFormat="1" ht="12.75" customHeight="1">
      <c r="A49" s="24" t="s">
        <v>21</v>
      </c>
      <c r="B49" s="5">
        <v>2004</v>
      </c>
      <c r="C49" s="28" t="s">
        <v>497</v>
      </c>
      <c r="D49" s="27" t="s">
        <v>495</v>
      </c>
      <c r="E49" s="27"/>
      <c r="F49" s="90">
        <v>0.419</v>
      </c>
      <c r="G49" s="87" t="s">
        <v>10</v>
      </c>
      <c r="H49" s="128">
        <v>147.659</v>
      </c>
      <c r="I49" s="26">
        <f t="shared" si="1"/>
        <v>352.40811455847256</v>
      </c>
    </row>
    <row r="50" spans="1:9" s="24" customFormat="1" ht="12.75" customHeight="1">
      <c r="A50" s="24" t="s">
        <v>21</v>
      </c>
      <c r="B50" s="5">
        <v>2004</v>
      </c>
      <c r="D50" s="24" t="s">
        <v>493</v>
      </c>
      <c r="F50" s="26">
        <v>3.994</v>
      </c>
      <c r="G50" s="87"/>
      <c r="H50" s="128">
        <v>1480.114</v>
      </c>
      <c r="I50" s="26">
        <f t="shared" si="1"/>
        <v>370.5843765648473</v>
      </c>
    </row>
    <row r="51" spans="2:9" s="24" customFormat="1" ht="12.75" customHeight="1">
      <c r="B51" s="5"/>
      <c r="F51" s="26"/>
      <c r="G51" s="87"/>
      <c r="H51" s="128"/>
      <c r="I51" s="26"/>
    </row>
    <row r="52" spans="1:9" s="24" customFormat="1" ht="12.75" customHeight="1">
      <c r="A52" s="24" t="s">
        <v>94</v>
      </c>
      <c r="B52" s="5">
        <v>2003</v>
      </c>
      <c r="C52" s="24" t="s">
        <v>135</v>
      </c>
      <c r="D52" s="24" t="s">
        <v>42</v>
      </c>
      <c r="F52" s="26">
        <v>3601.6138830099994</v>
      </c>
      <c r="G52" s="87" t="s">
        <v>180</v>
      </c>
      <c r="H52" s="128">
        <v>1235127.45</v>
      </c>
      <c r="I52" s="149">
        <f>$H52/$F52</f>
        <v>342.9372192911915</v>
      </c>
    </row>
    <row r="53" spans="1:9" s="24" customFormat="1" ht="12.75" customHeight="1">
      <c r="A53" s="24" t="s">
        <v>94</v>
      </c>
      <c r="B53" s="5">
        <v>2003</v>
      </c>
      <c r="C53" s="24" t="s">
        <v>136</v>
      </c>
      <c r="F53" s="26">
        <v>41.11340661999999</v>
      </c>
      <c r="G53" s="87" t="s">
        <v>180</v>
      </c>
      <c r="H53" s="128">
        <v>15316.259</v>
      </c>
      <c r="I53" s="149">
        <f>$H53/$F53</f>
        <v>372.5368501220054</v>
      </c>
    </row>
    <row r="54" spans="1:9" s="24" customFormat="1" ht="12.75" customHeight="1">
      <c r="A54" s="24" t="s">
        <v>94</v>
      </c>
      <c r="B54" s="5">
        <v>2003</v>
      </c>
      <c r="C54" s="24" t="s">
        <v>137</v>
      </c>
      <c r="F54" s="26">
        <v>19.0335717</v>
      </c>
      <c r="G54" s="87" t="s">
        <v>180</v>
      </c>
      <c r="H54" s="128">
        <v>5055.407</v>
      </c>
      <c r="I54" s="149"/>
    </row>
    <row r="55" spans="1:9" s="24" customFormat="1" ht="12.75" customHeight="1">
      <c r="A55" s="24" t="s">
        <v>94</v>
      </c>
      <c r="B55" s="5">
        <v>2003</v>
      </c>
      <c r="C55" s="24" t="s">
        <v>138</v>
      </c>
      <c r="F55" s="26">
        <v>2.4186633900000003</v>
      </c>
      <c r="G55" s="87" t="s">
        <v>180</v>
      </c>
      <c r="H55" s="128">
        <v>797.427</v>
      </c>
      <c r="I55" s="149">
        <f>$H55/$F55</f>
        <v>329.6973871176013</v>
      </c>
    </row>
    <row r="56" spans="2:9" s="24" customFormat="1" ht="12.75" customHeight="1">
      <c r="B56" s="5"/>
      <c r="F56" s="26"/>
      <c r="G56" s="87"/>
      <c r="H56" s="128"/>
      <c r="I56" s="149"/>
    </row>
    <row r="57" spans="1:9" s="24" customFormat="1" ht="12.75" customHeight="1">
      <c r="A57" s="24" t="s">
        <v>94</v>
      </c>
      <c r="B57" s="5">
        <v>2004</v>
      </c>
      <c r="C57" s="24" t="s">
        <v>135</v>
      </c>
      <c r="D57" s="24" t="s">
        <v>42</v>
      </c>
      <c r="F57" s="26">
        <v>2785.5014587399996</v>
      </c>
      <c r="G57" s="87" t="s">
        <v>180</v>
      </c>
      <c r="H57" s="128">
        <v>1178467.873</v>
      </c>
      <c r="I57" s="149">
        <f>$H57/$F57</f>
        <v>423.0720717457714</v>
      </c>
    </row>
    <row r="58" spans="1:9" s="24" customFormat="1" ht="12.75" customHeight="1">
      <c r="A58" s="24" t="s">
        <v>94</v>
      </c>
      <c r="B58" s="5">
        <v>2004</v>
      </c>
      <c r="C58" s="24" t="s">
        <v>137</v>
      </c>
      <c r="D58" s="1"/>
      <c r="F58" s="26">
        <v>110.05764198</v>
      </c>
      <c r="G58" s="87" t="s">
        <v>180</v>
      </c>
      <c r="H58" s="128">
        <v>47992.281</v>
      </c>
      <c r="I58" s="149">
        <f>$H58/$F58</f>
        <v>436.06495774933376</v>
      </c>
    </row>
    <row r="59" spans="1:9" s="24" customFormat="1" ht="12.75" customHeight="1">
      <c r="A59" s="24" t="s">
        <v>94</v>
      </c>
      <c r="B59" s="5">
        <v>2004</v>
      </c>
      <c r="C59" s="24" t="s">
        <v>136</v>
      </c>
      <c r="F59" s="26">
        <v>5.494513309999999</v>
      </c>
      <c r="G59" s="87" t="s">
        <v>180</v>
      </c>
      <c r="H59" s="128">
        <v>1950.294</v>
      </c>
      <c r="I59" s="149">
        <f>$H59/$F59</f>
        <v>354.9530031077494</v>
      </c>
    </row>
    <row r="60" spans="1:9" s="24" customFormat="1" ht="12.75" customHeight="1">
      <c r="A60" s="24" t="s">
        <v>94</v>
      </c>
      <c r="B60" s="5">
        <v>2004</v>
      </c>
      <c r="C60" s="24" t="s">
        <v>138</v>
      </c>
      <c r="F60" s="26">
        <v>2.31600083</v>
      </c>
      <c r="G60" s="87" t="s">
        <v>180</v>
      </c>
      <c r="H60" s="128">
        <v>850.546</v>
      </c>
      <c r="I60" s="149">
        <f>$H60/$F60</f>
        <v>367.24770949240116</v>
      </c>
    </row>
    <row r="61" spans="2:9" s="24" customFormat="1" ht="12.75" customHeight="1">
      <c r="B61" s="5"/>
      <c r="F61" s="26"/>
      <c r="G61" s="87"/>
      <c r="H61" s="128"/>
      <c r="I61" s="26"/>
    </row>
    <row r="62" spans="2:9" s="24" customFormat="1" ht="3" customHeight="1">
      <c r="B62" s="5"/>
      <c r="F62" s="26"/>
      <c r="G62" s="87"/>
      <c r="H62" s="128"/>
      <c r="I62" s="26"/>
    </row>
    <row r="63" spans="1:9" s="24" customFormat="1" ht="12.75" customHeight="1">
      <c r="A63" s="24" t="s">
        <v>198</v>
      </c>
      <c r="B63" s="5">
        <v>2003</v>
      </c>
      <c r="C63" s="31" t="s">
        <v>464</v>
      </c>
      <c r="D63" s="27" t="s">
        <v>408</v>
      </c>
      <c r="E63" s="27"/>
      <c r="F63" s="90">
        <v>56.497</v>
      </c>
      <c r="G63" s="87"/>
      <c r="H63" s="128">
        <v>11241</v>
      </c>
      <c r="I63" s="26">
        <f>$H63/$F63</f>
        <v>198.96631679558206</v>
      </c>
    </row>
    <row r="64" spans="1:9" s="24" customFormat="1" ht="12.75" customHeight="1">
      <c r="A64" s="24" t="s">
        <v>198</v>
      </c>
      <c r="B64" s="5">
        <v>2003</v>
      </c>
      <c r="C64" s="31" t="s">
        <v>5</v>
      </c>
      <c r="D64" s="27" t="s">
        <v>362</v>
      </c>
      <c r="E64" s="27"/>
      <c r="F64" s="90">
        <v>18.271</v>
      </c>
      <c r="G64" s="87"/>
      <c r="H64" s="128">
        <v>2150</v>
      </c>
      <c r="I64" s="26">
        <f>$H64/$F64</f>
        <v>117.67281484319413</v>
      </c>
    </row>
    <row r="65" spans="2:9" s="24" customFormat="1" ht="12.75" customHeight="1">
      <c r="B65" s="5"/>
      <c r="C65" s="31"/>
      <c r="D65" s="27"/>
      <c r="E65" s="27"/>
      <c r="F65" s="90"/>
      <c r="G65" s="87"/>
      <c r="H65" s="128"/>
      <c r="I65" s="26"/>
    </row>
    <row r="66" spans="1:9" s="24" customFormat="1" ht="12.75" customHeight="1">
      <c r="A66" s="24" t="s">
        <v>198</v>
      </c>
      <c r="B66" s="5">
        <v>2004</v>
      </c>
      <c r="C66" s="31" t="s">
        <v>464</v>
      </c>
      <c r="D66" s="27" t="s">
        <v>408</v>
      </c>
      <c r="E66" s="27"/>
      <c r="F66" s="90">
        <v>55.866</v>
      </c>
      <c r="G66" s="87"/>
      <c r="H66" s="128">
        <v>12963</v>
      </c>
      <c r="I66" s="26">
        <f>$H66/$F66</f>
        <v>232.0373751476748</v>
      </c>
    </row>
    <row r="67" spans="1:9" s="24" customFormat="1" ht="12.75" customHeight="1">
      <c r="A67" s="24" t="s">
        <v>198</v>
      </c>
      <c r="B67" s="5">
        <v>2004</v>
      </c>
      <c r="C67" s="31" t="s">
        <v>5</v>
      </c>
      <c r="D67" s="27" t="s">
        <v>362</v>
      </c>
      <c r="E67" s="27"/>
      <c r="F67" s="90">
        <v>34.859</v>
      </c>
      <c r="G67" s="87"/>
      <c r="H67" s="128">
        <v>3020</v>
      </c>
      <c r="I67" s="26">
        <f>$H67/$F67</f>
        <v>86.6347284775811</v>
      </c>
    </row>
    <row r="68" spans="2:9" s="24" customFormat="1" ht="12.75" customHeight="1">
      <c r="B68" s="5"/>
      <c r="C68" s="31"/>
      <c r="D68" s="27"/>
      <c r="E68" s="27"/>
      <c r="F68" s="90"/>
      <c r="G68" s="87"/>
      <c r="H68" s="128"/>
      <c r="I68" s="26"/>
    </row>
    <row r="69" spans="1:9" s="24" customFormat="1" ht="12.75" customHeight="1">
      <c r="A69" s="24" t="s">
        <v>24</v>
      </c>
      <c r="B69" s="5">
        <v>2004</v>
      </c>
      <c r="C69" s="55" t="s">
        <v>467</v>
      </c>
      <c r="D69" s="27" t="s">
        <v>366</v>
      </c>
      <c r="E69" s="252"/>
      <c r="F69" s="345">
        <v>5</v>
      </c>
      <c r="G69" s="332"/>
      <c r="H69" s="355">
        <v>1238</v>
      </c>
      <c r="I69" s="350">
        <v>86.6347284775811</v>
      </c>
    </row>
    <row r="70" spans="1:9" s="24" customFormat="1" ht="12.75" customHeight="1">
      <c r="A70" s="24" t="s">
        <v>24</v>
      </c>
      <c r="B70" s="5">
        <v>2004</v>
      </c>
      <c r="C70" s="56" t="s">
        <v>467</v>
      </c>
      <c r="D70" s="27" t="s">
        <v>387</v>
      </c>
      <c r="E70" s="254"/>
      <c r="F70" s="345"/>
      <c r="G70" s="332"/>
      <c r="H70" s="355"/>
      <c r="I70" s="350"/>
    </row>
    <row r="71" spans="2:9" s="24" customFormat="1" ht="12.75" customHeight="1">
      <c r="B71" s="5"/>
      <c r="F71" s="26"/>
      <c r="G71" s="87"/>
      <c r="H71" s="128"/>
      <c r="I71" s="26"/>
    </row>
    <row r="72" spans="1:9" s="24" customFormat="1" ht="12.75" customHeight="1">
      <c r="A72" s="24" t="s">
        <v>27</v>
      </c>
      <c r="B72" s="5">
        <v>2003</v>
      </c>
      <c r="C72" s="31" t="s">
        <v>19</v>
      </c>
      <c r="D72" s="27" t="s">
        <v>441</v>
      </c>
      <c r="E72" s="27"/>
      <c r="F72" s="90">
        <v>0.07943421625544267</v>
      </c>
      <c r="G72" s="87" t="s">
        <v>10</v>
      </c>
      <c r="H72" s="128">
        <v>27.72203</v>
      </c>
      <c r="I72" s="26">
        <f aca="true" t="shared" si="2" ref="I72:I78">H72/F72</f>
        <v>348.99356104744777</v>
      </c>
    </row>
    <row r="73" spans="1:9" s="24" customFormat="1" ht="12.75" customHeight="1">
      <c r="A73" s="24" t="s">
        <v>27</v>
      </c>
      <c r="B73" s="5">
        <v>2003</v>
      </c>
      <c r="C73" s="31" t="s">
        <v>23</v>
      </c>
      <c r="D73" s="27" t="s">
        <v>423</v>
      </c>
      <c r="E73" s="27"/>
      <c r="F73" s="90">
        <v>0.050589985486211894</v>
      </c>
      <c r="G73" s="87" t="s">
        <v>10</v>
      </c>
      <c r="H73" s="128">
        <v>26.53842</v>
      </c>
      <c r="I73" s="26">
        <f t="shared" si="2"/>
        <v>524.5785256695308</v>
      </c>
    </row>
    <row r="74" spans="1:9" s="24" customFormat="1" ht="12.75" customHeight="1">
      <c r="A74" s="24" t="s">
        <v>27</v>
      </c>
      <c r="B74" s="5">
        <v>2003</v>
      </c>
      <c r="C74" s="31"/>
      <c r="D74" s="27" t="s">
        <v>679</v>
      </c>
      <c r="E74" s="27"/>
      <c r="F74" s="90">
        <v>0.04529789550072569</v>
      </c>
      <c r="G74" s="87" t="s">
        <v>10</v>
      </c>
      <c r="H74" s="128">
        <v>24.41493</v>
      </c>
      <c r="I74" s="26">
        <f t="shared" si="2"/>
        <v>538.9859667897565</v>
      </c>
    </row>
    <row r="75" spans="1:9" s="24" customFormat="1" ht="12.75" customHeight="1">
      <c r="A75" s="24" t="s">
        <v>27</v>
      </c>
      <c r="B75" s="5">
        <v>2003</v>
      </c>
      <c r="C75" s="31" t="s">
        <v>678</v>
      </c>
      <c r="D75" s="27" t="s">
        <v>677</v>
      </c>
      <c r="E75" s="27"/>
      <c r="F75" s="90">
        <v>0.04287971698113208</v>
      </c>
      <c r="G75" s="87" t="s">
        <v>10</v>
      </c>
      <c r="H75" s="128">
        <v>13.80908</v>
      </c>
      <c r="I75" s="26">
        <f t="shared" si="2"/>
        <v>322.0422375006875</v>
      </c>
    </row>
    <row r="76" spans="1:9" s="24" customFormat="1" ht="12.75" customHeight="1">
      <c r="A76" s="24" t="s">
        <v>27</v>
      </c>
      <c r="B76" s="5">
        <v>2003</v>
      </c>
      <c r="C76" s="31" t="s">
        <v>673</v>
      </c>
      <c r="D76" s="27" t="s">
        <v>438</v>
      </c>
      <c r="E76" s="27"/>
      <c r="F76" s="90">
        <v>0.039799528301886794</v>
      </c>
      <c r="G76" s="87" t="s">
        <v>10</v>
      </c>
      <c r="H76" s="128">
        <v>14.47067</v>
      </c>
      <c r="I76" s="26">
        <f t="shared" si="2"/>
        <v>363.5889825185185</v>
      </c>
    </row>
    <row r="77" spans="1:9" s="24" customFormat="1" ht="12.75" customHeight="1">
      <c r="A77" s="24" t="s">
        <v>27</v>
      </c>
      <c r="B77" s="5">
        <v>2003</v>
      </c>
      <c r="C77" s="31" t="s">
        <v>675</v>
      </c>
      <c r="D77" s="27" t="s">
        <v>676</v>
      </c>
      <c r="E77" s="27"/>
      <c r="F77" s="90">
        <v>0.038620283018867926</v>
      </c>
      <c r="G77" s="87" t="s">
        <v>10</v>
      </c>
      <c r="H77" s="128">
        <v>12.15649</v>
      </c>
      <c r="I77" s="26">
        <f t="shared" si="2"/>
        <v>314.76957312977095</v>
      </c>
    </row>
    <row r="78" spans="1:9" s="24" customFormat="1" ht="12.75" customHeight="1">
      <c r="A78" s="24" t="s">
        <v>27</v>
      </c>
      <c r="B78" s="5">
        <v>2003</v>
      </c>
      <c r="C78" s="31" t="s">
        <v>674</v>
      </c>
      <c r="D78" s="27" t="s">
        <v>440</v>
      </c>
      <c r="E78" s="27"/>
      <c r="F78" s="90">
        <v>0.0022358490566037736</v>
      </c>
      <c r="G78" s="87" t="s">
        <v>10</v>
      </c>
      <c r="H78" s="128">
        <v>2.9187</v>
      </c>
      <c r="I78" s="26">
        <f t="shared" si="2"/>
        <v>1305.4101265822785</v>
      </c>
    </row>
    <row r="79" spans="2:9" s="24" customFormat="1" ht="12.75" customHeight="1">
      <c r="B79" s="5"/>
      <c r="F79" s="26"/>
      <c r="G79" s="87"/>
      <c r="H79" s="128"/>
      <c r="I79" s="26"/>
    </row>
    <row r="80" spans="1:9" s="24" customFormat="1" ht="12.75" customHeight="1">
      <c r="A80" s="24" t="s">
        <v>27</v>
      </c>
      <c r="B80" s="5">
        <v>2004</v>
      </c>
      <c r="C80" s="31" t="s">
        <v>673</v>
      </c>
      <c r="D80" s="27" t="s">
        <v>438</v>
      </c>
      <c r="E80" s="27"/>
      <c r="F80" s="90">
        <v>0.913</v>
      </c>
      <c r="G80" s="87"/>
      <c r="H80" s="128">
        <v>352.24</v>
      </c>
      <c r="I80" s="26">
        <f aca="true" t="shared" si="3" ref="I80:I88">H80/F80</f>
        <v>385.8050383351588</v>
      </c>
    </row>
    <row r="81" spans="1:9" s="24" customFormat="1" ht="12.75" customHeight="1">
      <c r="A81" s="24" t="s">
        <v>27</v>
      </c>
      <c r="B81" s="5">
        <v>2004</v>
      </c>
      <c r="C81" s="31" t="s">
        <v>19</v>
      </c>
      <c r="D81" s="27" t="s">
        <v>441</v>
      </c>
      <c r="E81" s="27"/>
      <c r="F81" s="90">
        <v>0.396</v>
      </c>
      <c r="G81" s="87" t="s">
        <v>10</v>
      </c>
      <c r="H81" s="128">
        <v>189.4</v>
      </c>
      <c r="I81" s="26">
        <f t="shared" si="3"/>
        <v>478.2828282828283</v>
      </c>
    </row>
    <row r="82" spans="1:9" s="24" customFormat="1" ht="12.75" customHeight="1">
      <c r="A82" s="24" t="s">
        <v>27</v>
      </c>
      <c r="B82" s="5">
        <v>2004</v>
      </c>
      <c r="C82" s="31" t="s">
        <v>179</v>
      </c>
      <c r="D82" s="27" t="s">
        <v>439</v>
      </c>
      <c r="E82" s="27"/>
      <c r="F82" s="90">
        <v>0.372</v>
      </c>
      <c r="G82" s="87" t="s">
        <v>10</v>
      </c>
      <c r="H82" s="128">
        <v>172.599</v>
      </c>
      <c r="I82" s="26">
        <f t="shared" si="3"/>
        <v>463.97580645161287</v>
      </c>
    </row>
    <row r="83" spans="1:9" s="24" customFormat="1" ht="12.75" customHeight="1">
      <c r="A83" s="24" t="s">
        <v>27</v>
      </c>
      <c r="B83" s="5">
        <v>2004</v>
      </c>
      <c r="C83" s="31"/>
      <c r="D83" s="27" t="s">
        <v>679</v>
      </c>
      <c r="E83" s="27"/>
      <c r="F83" s="90">
        <v>0.176</v>
      </c>
      <c r="G83" s="87" t="s">
        <v>10</v>
      </c>
      <c r="H83" s="128">
        <v>70.549</v>
      </c>
      <c r="I83" s="26">
        <f t="shared" si="3"/>
        <v>400.846590909091</v>
      </c>
    </row>
    <row r="84" spans="1:9" s="24" customFormat="1" ht="12.75" customHeight="1">
      <c r="A84" s="24" t="s">
        <v>27</v>
      </c>
      <c r="B84" s="5">
        <v>2004</v>
      </c>
      <c r="C84" s="31" t="s">
        <v>674</v>
      </c>
      <c r="D84" s="27" t="s">
        <v>440</v>
      </c>
      <c r="E84" s="27"/>
      <c r="F84" s="90">
        <v>0.15</v>
      </c>
      <c r="G84" s="87" t="s">
        <v>10</v>
      </c>
      <c r="H84" s="128">
        <v>55.982</v>
      </c>
      <c r="I84" s="26">
        <f t="shared" si="3"/>
        <v>373.21333333333337</v>
      </c>
    </row>
    <row r="85" spans="1:9" s="24" customFormat="1" ht="12.75" customHeight="1">
      <c r="A85" s="24" t="s">
        <v>27</v>
      </c>
      <c r="B85" s="5">
        <v>2004</v>
      </c>
      <c r="C85" s="31" t="s">
        <v>23</v>
      </c>
      <c r="D85" s="27" t="s">
        <v>423</v>
      </c>
      <c r="E85" s="27"/>
      <c r="F85" s="90">
        <v>0.101</v>
      </c>
      <c r="G85" s="87" t="s">
        <v>10</v>
      </c>
      <c r="H85" s="128">
        <v>58.9</v>
      </c>
      <c r="I85" s="26">
        <f t="shared" si="3"/>
        <v>583.1683168316831</v>
      </c>
    </row>
    <row r="86" spans="1:9" s="24" customFormat="1" ht="12.75" customHeight="1">
      <c r="A86" s="24" t="s">
        <v>27</v>
      </c>
      <c r="B86" s="5">
        <v>2004</v>
      </c>
      <c r="C86" s="31" t="s">
        <v>675</v>
      </c>
      <c r="D86" s="27" t="s">
        <v>676</v>
      </c>
      <c r="E86" s="27"/>
      <c r="F86" s="90">
        <v>0.093</v>
      </c>
      <c r="G86" s="87" t="s">
        <v>10</v>
      </c>
      <c r="H86" s="128">
        <v>38.507</v>
      </c>
      <c r="I86" s="26">
        <f t="shared" si="3"/>
        <v>414.0537634408602</v>
      </c>
    </row>
    <row r="87" spans="1:9" s="24" customFormat="1" ht="12.75" customHeight="1">
      <c r="A87" s="24" t="s">
        <v>27</v>
      </c>
      <c r="B87" s="5">
        <v>2004</v>
      </c>
      <c r="C87" s="31" t="s">
        <v>678</v>
      </c>
      <c r="D87" s="27" t="s">
        <v>677</v>
      </c>
      <c r="E87" s="27"/>
      <c r="F87" s="90">
        <v>0.067</v>
      </c>
      <c r="G87" s="87" t="s">
        <v>10</v>
      </c>
      <c r="H87" s="128">
        <v>30.849</v>
      </c>
      <c r="I87" s="26">
        <f t="shared" si="3"/>
        <v>460.4328358208955</v>
      </c>
    </row>
    <row r="88" spans="1:9" s="24" customFormat="1" ht="12.75" customHeight="1">
      <c r="A88" s="24" t="s">
        <v>27</v>
      </c>
      <c r="B88" s="5">
        <v>2004</v>
      </c>
      <c r="C88" s="31"/>
      <c r="D88" s="27" t="s">
        <v>482</v>
      </c>
      <c r="E88" s="27"/>
      <c r="F88" s="90">
        <v>0.091</v>
      </c>
      <c r="G88" s="87" t="s">
        <v>10</v>
      </c>
      <c r="H88" s="128">
        <v>48.987</v>
      </c>
      <c r="I88" s="26">
        <f t="shared" si="3"/>
        <v>538.3186813186813</v>
      </c>
    </row>
    <row r="89" spans="2:9" s="24" customFormat="1" ht="12.75" customHeight="1">
      <c r="B89" s="5"/>
      <c r="F89" s="26"/>
      <c r="G89" s="87"/>
      <c r="H89" s="128"/>
      <c r="I89" s="26"/>
    </row>
    <row r="90" spans="1:14" s="24" customFormat="1" ht="12.75" customHeight="1">
      <c r="A90" s="24" t="s">
        <v>294</v>
      </c>
      <c r="B90" s="5">
        <v>2003</v>
      </c>
      <c r="C90" s="20" t="s">
        <v>23</v>
      </c>
      <c r="D90" s="10" t="s">
        <v>383</v>
      </c>
      <c r="E90" s="27"/>
      <c r="F90" s="90">
        <v>0</v>
      </c>
      <c r="G90" s="87" t="s">
        <v>10</v>
      </c>
      <c r="H90" s="128">
        <v>99.058</v>
      </c>
      <c r="I90" s="59" t="s">
        <v>71</v>
      </c>
      <c r="K90" s="26"/>
      <c r="L90" s="26"/>
      <c r="M90" s="26"/>
      <c r="N90" s="26"/>
    </row>
    <row r="91" spans="1:14" s="24" customFormat="1" ht="12.75" customHeight="1">
      <c r="A91" s="24" t="s">
        <v>294</v>
      </c>
      <c r="B91" s="5">
        <v>2003</v>
      </c>
      <c r="C91" s="24" t="s">
        <v>302</v>
      </c>
      <c r="D91" s="24" t="s">
        <v>42</v>
      </c>
      <c r="F91" s="26">
        <v>0</v>
      </c>
      <c r="G91" s="87" t="s">
        <v>10</v>
      </c>
      <c r="H91" s="128">
        <v>127.805</v>
      </c>
      <c r="I91" s="59" t="s">
        <v>71</v>
      </c>
      <c r="K91" s="26"/>
      <c r="L91" s="26"/>
      <c r="M91" s="26"/>
      <c r="N91" s="26"/>
    </row>
    <row r="92" spans="1:14" s="24" customFormat="1" ht="12.75" customHeight="1">
      <c r="A92" s="24" t="s">
        <v>294</v>
      </c>
      <c r="B92" s="5">
        <v>2003</v>
      </c>
      <c r="C92" s="24" t="s">
        <v>62</v>
      </c>
      <c r="F92" s="26">
        <v>0.0005903448275862068</v>
      </c>
      <c r="G92" s="87" t="s">
        <v>10</v>
      </c>
      <c r="H92" s="128">
        <v>1.314</v>
      </c>
      <c r="I92" s="59">
        <f aca="true" t="shared" si="4" ref="I92:I99">$H92/$F92</f>
        <v>2225.817757009346</v>
      </c>
      <c r="K92" s="26"/>
      <c r="L92" s="26"/>
      <c r="M92" s="26"/>
      <c r="N92" s="26"/>
    </row>
    <row r="93" spans="1:14" s="24" customFormat="1" ht="12.75" customHeight="1">
      <c r="A93" s="24" t="s">
        <v>294</v>
      </c>
      <c r="B93" s="5">
        <v>2003</v>
      </c>
      <c r="C93" s="24" t="s">
        <v>300</v>
      </c>
      <c r="F93" s="26">
        <f>0.00274344827586207*10</f>
        <v>0.0274344827586207</v>
      </c>
      <c r="G93" s="87" t="s">
        <v>307</v>
      </c>
      <c r="H93" s="128">
        <v>32.513</v>
      </c>
      <c r="I93" s="59">
        <f t="shared" si="4"/>
        <v>1185.1143790849667</v>
      </c>
      <c r="K93" s="26"/>
      <c r="L93" s="26"/>
      <c r="M93" s="26"/>
      <c r="N93" s="26"/>
    </row>
    <row r="94" spans="2:14" s="24" customFormat="1" ht="12.75" customHeight="1">
      <c r="B94" s="5"/>
      <c r="F94" s="26"/>
      <c r="G94" s="87"/>
      <c r="H94" s="128"/>
      <c r="I94" s="26"/>
      <c r="K94" s="26"/>
      <c r="L94" s="26"/>
      <c r="M94" s="26"/>
      <c r="N94" s="26"/>
    </row>
    <row r="95" spans="1:9" s="24" customFormat="1" ht="12.75" customHeight="1">
      <c r="A95" s="24" t="s">
        <v>294</v>
      </c>
      <c r="B95" s="5">
        <v>2004</v>
      </c>
      <c r="C95" s="20" t="s">
        <v>23</v>
      </c>
      <c r="D95" s="10" t="s">
        <v>383</v>
      </c>
      <c r="E95" s="27"/>
      <c r="F95" s="90">
        <v>0</v>
      </c>
      <c r="G95" s="87" t="s">
        <v>10</v>
      </c>
      <c r="H95" s="128">
        <v>37.67</v>
      </c>
      <c r="I95" s="59" t="s">
        <v>71</v>
      </c>
    </row>
    <row r="96" spans="1:9" s="24" customFormat="1" ht="12.75" customHeight="1">
      <c r="A96" s="24" t="s">
        <v>294</v>
      </c>
      <c r="B96" s="5">
        <v>2004</v>
      </c>
      <c r="C96" s="24" t="s">
        <v>62</v>
      </c>
      <c r="D96" s="24" t="s">
        <v>42</v>
      </c>
      <c r="F96" s="26">
        <f>0.00124413793103448*100</f>
        <v>0.124413793103448</v>
      </c>
      <c r="G96" s="87" t="s">
        <v>307</v>
      </c>
      <c r="H96" s="128">
        <v>117.499</v>
      </c>
      <c r="I96" s="59">
        <f t="shared" si="4"/>
        <v>944.4210088691817</v>
      </c>
    </row>
    <row r="97" spans="1:9" s="24" customFormat="1" ht="12.75" customHeight="1">
      <c r="A97" s="24" t="s">
        <v>294</v>
      </c>
      <c r="B97" s="5">
        <v>2004</v>
      </c>
      <c r="C97" s="24" t="s">
        <v>300</v>
      </c>
      <c r="F97" s="26">
        <f>0.00628827586206897*10</f>
        <v>0.0628827586206897</v>
      </c>
      <c r="G97" s="87" t="s">
        <v>307</v>
      </c>
      <c r="H97" s="128">
        <v>114.816</v>
      </c>
      <c r="I97" s="59">
        <f t="shared" si="4"/>
        <v>1825.8740951963136</v>
      </c>
    </row>
    <row r="98" spans="1:9" s="24" customFormat="1" ht="12.75" customHeight="1">
      <c r="A98" s="24" t="s">
        <v>294</v>
      </c>
      <c r="B98" s="5">
        <v>2004</v>
      </c>
      <c r="C98" s="24" t="s">
        <v>301</v>
      </c>
      <c r="F98" s="26">
        <v>0</v>
      </c>
      <c r="G98" s="87" t="s">
        <v>10</v>
      </c>
      <c r="H98" s="128">
        <v>317.279</v>
      </c>
      <c r="I98" s="59" t="s">
        <v>71</v>
      </c>
    </row>
    <row r="99" spans="1:9" s="24" customFormat="1" ht="12.75" customHeight="1">
      <c r="A99" s="24" t="s">
        <v>294</v>
      </c>
      <c r="B99" s="5">
        <v>2004</v>
      </c>
      <c r="C99" s="24" t="s">
        <v>302</v>
      </c>
      <c r="F99" s="26">
        <v>0.2507889655172414</v>
      </c>
      <c r="G99" s="87" t="s">
        <v>10</v>
      </c>
      <c r="H99" s="128">
        <v>6.501</v>
      </c>
      <c r="I99" s="59">
        <f t="shared" si="4"/>
        <v>25.922193133944187</v>
      </c>
    </row>
    <row r="100" spans="2:9" s="24" customFormat="1" ht="12.75" customHeight="1">
      <c r="B100" s="5"/>
      <c r="F100" s="26"/>
      <c r="G100" s="87"/>
      <c r="H100" s="128"/>
      <c r="I100" s="26"/>
    </row>
    <row r="101" spans="1:9" s="24" customFormat="1" ht="12.75" customHeight="1">
      <c r="A101" s="24" t="s">
        <v>182</v>
      </c>
      <c r="B101" s="5">
        <v>2003</v>
      </c>
      <c r="C101" s="55" t="s">
        <v>730</v>
      </c>
      <c r="D101" s="27" t="s">
        <v>435</v>
      </c>
      <c r="E101" s="252"/>
      <c r="F101" s="90"/>
      <c r="G101" s="87"/>
      <c r="H101" s="128"/>
      <c r="I101" s="26"/>
    </row>
    <row r="102" spans="1:9" s="24" customFormat="1" ht="12.75" customHeight="1">
      <c r="A102" s="24" t="s">
        <v>182</v>
      </c>
      <c r="B102" s="5">
        <v>2003</v>
      </c>
      <c r="C102" s="56" t="s">
        <v>729</v>
      </c>
      <c r="D102" s="27" t="s">
        <v>388</v>
      </c>
      <c r="E102" s="253"/>
      <c r="F102" s="90"/>
      <c r="G102" s="87"/>
      <c r="H102" s="128"/>
      <c r="I102" s="26"/>
    </row>
    <row r="103" spans="1:9" s="24" customFormat="1" ht="12.75" customHeight="1">
      <c r="A103" s="24" t="s">
        <v>182</v>
      </c>
      <c r="B103" s="5">
        <v>2003</v>
      </c>
      <c r="C103" s="55" t="s">
        <v>211</v>
      </c>
      <c r="D103" s="27" t="s">
        <v>436</v>
      </c>
      <c r="E103" s="253"/>
      <c r="F103" s="90">
        <f>12.3703018584615/10</f>
        <v>1.23703018584615</v>
      </c>
      <c r="G103" s="87"/>
      <c r="H103" s="128">
        <v>6610.15216</v>
      </c>
      <c r="I103" s="59">
        <f>$H103/$F103/10</f>
        <v>534.3565771985217</v>
      </c>
    </row>
    <row r="104" spans="1:9" s="24" customFormat="1" ht="12.75" customHeight="1">
      <c r="A104" s="24" t="s">
        <v>182</v>
      </c>
      <c r="B104" s="5">
        <v>2003</v>
      </c>
      <c r="C104" s="56" t="s">
        <v>480</v>
      </c>
      <c r="D104" s="27" t="s">
        <v>389</v>
      </c>
      <c r="E104" s="253"/>
      <c r="F104" s="90"/>
      <c r="G104" s="87"/>
      <c r="H104" s="128"/>
      <c r="I104" s="26"/>
    </row>
    <row r="105" spans="1:9" s="24" customFormat="1" ht="12.75" customHeight="1">
      <c r="A105" s="24" t="s">
        <v>182</v>
      </c>
      <c r="B105" s="5">
        <v>2003</v>
      </c>
      <c r="C105" s="56" t="s">
        <v>731</v>
      </c>
      <c r="D105" s="27" t="s">
        <v>437</v>
      </c>
      <c r="E105" s="254"/>
      <c r="F105" s="90"/>
      <c r="G105" s="87"/>
      <c r="H105" s="128"/>
      <c r="I105" s="26"/>
    </row>
    <row r="106" spans="2:9" s="24" customFormat="1" ht="12.75" customHeight="1">
      <c r="B106" s="5"/>
      <c r="F106" s="26"/>
      <c r="G106" s="87"/>
      <c r="H106" s="128"/>
      <c r="I106" s="26"/>
    </row>
    <row r="107" spans="1:9" s="24" customFormat="1" ht="12.75" customHeight="1">
      <c r="A107" s="24" t="s">
        <v>182</v>
      </c>
      <c r="B107" s="5">
        <v>2004</v>
      </c>
      <c r="C107" s="55" t="s">
        <v>730</v>
      </c>
      <c r="D107" s="27" t="s">
        <v>435</v>
      </c>
      <c r="E107" s="252"/>
      <c r="F107" s="90"/>
      <c r="G107" s="87"/>
      <c r="H107" s="128"/>
      <c r="I107" s="26"/>
    </row>
    <row r="108" spans="1:9" s="24" customFormat="1" ht="12.75" customHeight="1">
      <c r="A108" s="24" t="s">
        <v>182</v>
      </c>
      <c r="B108" s="5">
        <v>2004</v>
      </c>
      <c r="C108" s="56" t="s">
        <v>729</v>
      </c>
      <c r="D108" s="27" t="s">
        <v>388</v>
      </c>
      <c r="E108" s="253"/>
      <c r="F108" s="90"/>
      <c r="G108" s="87"/>
      <c r="H108" s="128"/>
      <c r="I108" s="26"/>
    </row>
    <row r="109" spans="1:9" s="24" customFormat="1" ht="12.75" customHeight="1">
      <c r="A109" s="24" t="s">
        <v>182</v>
      </c>
      <c r="B109" s="5">
        <v>2004</v>
      </c>
      <c r="C109" s="55" t="s">
        <v>211</v>
      </c>
      <c r="D109" s="27" t="s">
        <v>436</v>
      </c>
      <c r="E109" s="253"/>
      <c r="F109" s="90">
        <v>0</v>
      </c>
      <c r="G109" s="87" t="s">
        <v>10</v>
      </c>
      <c r="H109" s="128">
        <v>8909.04739</v>
      </c>
      <c r="I109" s="59" t="s">
        <v>71</v>
      </c>
    </row>
    <row r="110" spans="1:9" s="24" customFormat="1" ht="12.75" customHeight="1">
      <c r="A110" s="24" t="s">
        <v>182</v>
      </c>
      <c r="B110" s="5">
        <v>2004</v>
      </c>
      <c r="C110" s="56" t="s">
        <v>480</v>
      </c>
      <c r="D110" s="27" t="s">
        <v>389</v>
      </c>
      <c r="E110" s="253"/>
      <c r="F110" s="90"/>
      <c r="G110" s="87"/>
      <c r="H110" s="128"/>
      <c r="I110" s="26"/>
    </row>
    <row r="111" spans="1:9" s="24" customFormat="1" ht="12.75" customHeight="1">
      <c r="A111" s="24" t="s">
        <v>182</v>
      </c>
      <c r="B111" s="5">
        <v>2004</v>
      </c>
      <c r="C111" s="56" t="s">
        <v>731</v>
      </c>
      <c r="D111" s="27" t="s">
        <v>437</v>
      </c>
      <c r="E111" s="254"/>
      <c r="F111" s="90"/>
      <c r="G111" s="87"/>
      <c r="H111" s="128"/>
      <c r="I111" s="26"/>
    </row>
    <row r="112" spans="1:9" s="156" customFormat="1" ht="12.75" customHeight="1">
      <c r="A112" s="24"/>
      <c r="B112" s="5"/>
      <c r="C112" s="24"/>
      <c r="D112" s="24"/>
      <c r="E112" s="24"/>
      <c r="F112" s="26"/>
      <c r="G112" s="87"/>
      <c r="H112" s="128"/>
      <c r="I112" s="26"/>
    </row>
    <row r="113" spans="1:9" s="24" customFormat="1" ht="12.75" customHeight="1">
      <c r="A113" s="62" t="s">
        <v>285</v>
      </c>
      <c r="B113" s="298">
        <v>2003</v>
      </c>
      <c r="C113" s="305" t="s">
        <v>308</v>
      </c>
      <c r="D113" s="275" t="s">
        <v>424</v>
      </c>
      <c r="E113" s="266"/>
      <c r="F113" s="341">
        <v>0.1</v>
      </c>
      <c r="G113" s="342" t="s">
        <v>10</v>
      </c>
      <c r="H113" s="355">
        <v>29.187</v>
      </c>
      <c r="I113" s="343">
        <f>$H113/$F113</f>
        <v>291.87</v>
      </c>
    </row>
    <row r="114" spans="1:9" s="24" customFormat="1" ht="12.75" customHeight="1">
      <c r="A114" s="62" t="s">
        <v>285</v>
      </c>
      <c r="B114" s="298">
        <v>2003</v>
      </c>
      <c r="C114" s="305" t="s">
        <v>724</v>
      </c>
      <c r="D114" s="275" t="s">
        <v>481</v>
      </c>
      <c r="E114" s="268"/>
      <c r="F114" s="341"/>
      <c r="G114" s="342"/>
      <c r="H114" s="355"/>
      <c r="I114" s="343"/>
    </row>
    <row r="115" spans="2:9" s="24" customFormat="1" ht="12.75" customHeight="1">
      <c r="B115" s="5"/>
      <c r="F115" s="26"/>
      <c r="G115" s="87"/>
      <c r="H115" s="128"/>
      <c r="I115" s="26"/>
    </row>
    <row r="116" spans="1:9" s="24" customFormat="1" ht="12.75" customHeight="1">
      <c r="A116" s="24" t="s">
        <v>67</v>
      </c>
      <c r="B116" s="5">
        <v>2003</v>
      </c>
      <c r="D116" s="24" t="s">
        <v>482</v>
      </c>
      <c r="F116" s="26">
        <v>0.002</v>
      </c>
      <c r="G116" s="87" t="s">
        <v>10</v>
      </c>
      <c r="H116" s="128">
        <v>1.096</v>
      </c>
      <c r="I116" s="26">
        <f>1.11274193548387/F116</f>
        <v>556.3709677419349</v>
      </c>
    </row>
    <row r="117" spans="2:9" s="24" customFormat="1" ht="12.75" customHeight="1">
      <c r="B117" s="5"/>
      <c r="F117" s="26"/>
      <c r="G117" s="87"/>
      <c r="H117" s="128"/>
      <c r="I117" s="26"/>
    </row>
    <row r="118" spans="1:9" s="24" customFormat="1" ht="12.75" customHeight="1">
      <c r="A118" s="24" t="s">
        <v>67</v>
      </c>
      <c r="B118" s="5">
        <v>2004</v>
      </c>
      <c r="D118" s="24" t="s">
        <v>482</v>
      </c>
      <c r="F118" s="26">
        <v>0.03</v>
      </c>
      <c r="G118" s="87" t="s">
        <v>10</v>
      </c>
      <c r="H118" s="128">
        <v>74.502</v>
      </c>
      <c r="I118" s="26">
        <f>1.11274193548387/F118</f>
        <v>37.09139784946233</v>
      </c>
    </row>
    <row r="119" spans="2:9" s="24" customFormat="1" ht="12.75" customHeight="1">
      <c r="B119" s="5"/>
      <c r="F119" s="26"/>
      <c r="G119" s="87"/>
      <c r="H119" s="128"/>
      <c r="I119" s="26"/>
    </row>
    <row r="120" spans="2:9" s="24" customFormat="1" ht="3" customHeight="1">
      <c r="B120" s="5"/>
      <c r="F120" s="26"/>
      <c r="G120" s="87"/>
      <c r="H120" s="128"/>
      <c r="I120" s="26"/>
    </row>
    <row r="121" spans="1:9" s="24" customFormat="1" ht="12.75" customHeight="1">
      <c r="A121" s="24" t="s">
        <v>562</v>
      </c>
      <c r="B121" s="5">
        <v>2003</v>
      </c>
      <c r="C121" s="5" t="s">
        <v>175</v>
      </c>
      <c r="D121" s="8" t="s">
        <v>42</v>
      </c>
      <c r="F121" s="26">
        <v>0.2</v>
      </c>
      <c r="G121" s="87" t="s">
        <v>10</v>
      </c>
      <c r="H121" s="128">
        <v>48.03868389122832</v>
      </c>
      <c r="I121" s="74">
        <f>$H121/$F121</f>
        <v>240.19341945614158</v>
      </c>
    </row>
    <row r="122" spans="1:9" s="24" customFormat="1" ht="12.75" customHeight="1">
      <c r="A122" s="24" t="s">
        <v>562</v>
      </c>
      <c r="B122" s="5">
        <v>2003</v>
      </c>
      <c r="C122" s="5" t="s">
        <v>176</v>
      </c>
      <c r="F122" s="26">
        <v>0.2</v>
      </c>
      <c r="G122" s="87" t="s">
        <v>10</v>
      </c>
      <c r="H122" s="128">
        <v>83.93547926629077</v>
      </c>
      <c r="I122" s="74">
        <f>$H122/$F122</f>
        <v>419.67739633145385</v>
      </c>
    </row>
    <row r="123" spans="1:9" s="24" customFormat="1" ht="12.75" customHeight="1">
      <c r="A123" s="24" t="s">
        <v>562</v>
      </c>
      <c r="B123" s="5">
        <v>2003</v>
      </c>
      <c r="C123" s="5" t="s">
        <v>174</v>
      </c>
      <c r="F123" s="26">
        <v>0.1</v>
      </c>
      <c r="G123" s="87" t="s">
        <v>10</v>
      </c>
      <c r="H123" s="128">
        <v>37.66469202769253</v>
      </c>
      <c r="I123" s="74">
        <f>$H123/$F123</f>
        <v>376.6469202769253</v>
      </c>
    </row>
    <row r="124" spans="1:9" s="24" customFormat="1" ht="12.75" customHeight="1">
      <c r="A124" s="24" t="s">
        <v>562</v>
      </c>
      <c r="B124" s="5">
        <v>2003</v>
      </c>
      <c r="C124" s="5" t="s">
        <v>594</v>
      </c>
      <c r="F124" s="26">
        <v>0.036</v>
      </c>
      <c r="G124" s="87" t="s">
        <v>10</v>
      </c>
      <c r="H124" s="128">
        <v>8.180001427449861</v>
      </c>
      <c r="I124" s="74">
        <f>$H124/$F124</f>
        <v>227.22226187360727</v>
      </c>
    </row>
    <row r="125" spans="1:9" s="24" customFormat="1" ht="12.75" customHeight="1">
      <c r="A125" s="24" t="s">
        <v>562</v>
      </c>
      <c r="B125" s="5">
        <v>2003</v>
      </c>
      <c r="C125" s="5" t="s">
        <v>593</v>
      </c>
      <c r="F125" s="26">
        <v>0.001</v>
      </c>
      <c r="G125" s="87" t="s">
        <v>10</v>
      </c>
      <c r="H125" s="128">
        <v>0.2783527228606095</v>
      </c>
      <c r="I125" s="74">
        <f>$H125/$F125</f>
        <v>278.3527228606095</v>
      </c>
    </row>
    <row r="126" spans="2:9" s="24" customFormat="1" ht="12.75" customHeight="1">
      <c r="B126" s="5"/>
      <c r="F126" s="26"/>
      <c r="G126" s="87"/>
      <c r="H126" s="128"/>
      <c r="I126" s="26"/>
    </row>
    <row r="127" spans="1:9" s="24" customFormat="1" ht="12.75" customHeight="1">
      <c r="A127" s="24" t="s">
        <v>562</v>
      </c>
      <c r="B127" s="5">
        <v>2004</v>
      </c>
      <c r="C127" s="5" t="s">
        <v>176</v>
      </c>
      <c r="D127" s="8" t="s">
        <v>42</v>
      </c>
      <c r="F127" s="26">
        <v>2</v>
      </c>
      <c r="G127" s="87"/>
      <c r="H127" s="128">
        <v>1154.9408147578786</v>
      </c>
      <c r="I127" s="74">
        <f>$H127/$F127</f>
        <v>577.4704073789393</v>
      </c>
    </row>
    <row r="128" spans="1:9" s="24" customFormat="1" ht="12.75" customHeight="1">
      <c r="A128" s="24" t="s">
        <v>562</v>
      </c>
      <c r="B128" s="5">
        <v>2004</v>
      </c>
      <c r="C128" s="5" t="s">
        <v>174</v>
      </c>
      <c r="F128" s="26">
        <v>0.6</v>
      </c>
      <c r="G128" s="87"/>
      <c r="H128" s="128">
        <v>156.67947732513454</v>
      </c>
      <c r="I128" s="74">
        <f>$H128/$F128</f>
        <v>261.13246220855757</v>
      </c>
    </row>
    <row r="129" spans="1:9" s="24" customFormat="1" ht="12.75" customHeight="1">
      <c r="A129" s="24" t="s">
        <v>562</v>
      </c>
      <c r="B129" s="5">
        <v>2004</v>
      </c>
      <c r="C129" s="5" t="s">
        <v>50</v>
      </c>
      <c r="F129" s="26">
        <v>0.02</v>
      </c>
      <c r="G129" s="87" t="s">
        <v>10</v>
      </c>
      <c r="H129" s="128">
        <v>11.733282090699461</v>
      </c>
      <c r="I129" s="74">
        <f>$H129/$F129</f>
        <v>586.664104534973</v>
      </c>
    </row>
    <row r="130" spans="1:9" s="24" customFormat="1" ht="12.75" customHeight="1">
      <c r="A130" s="24" t="s">
        <v>562</v>
      </c>
      <c r="B130" s="5">
        <v>2004</v>
      </c>
      <c r="C130" s="5" t="s">
        <v>175</v>
      </c>
      <c r="F130" s="26">
        <v>0.011</v>
      </c>
      <c r="G130" s="87" t="s">
        <v>10</v>
      </c>
      <c r="H130" s="128">
        <v>5.77478862413528</v>
      </c>
      <c r="I130" s="74">
        <f>$H130/$F130</f>
        <v>524.9807840122983</v>
      </c>
    </row>
    <row r="131" spans="1:9" s="24" customFormat="1" ht="12.75" customHeight="1">
      <c r="A131" s="156"/>
      <c r="B131" s="157"/>
      <c r="C131" s="156"/>
      <c r="D131" s="156"/>
      <c r="E131" s="156"/>
      <c r="F131" s="159"/>
      <c r="G131" s="163"/>
      <c r="H131" s="161"/>
      <c r="I131" s="159"/>
    </row>
    <row r="132" spans="1:9" s="24" customFormat="1" ht="12.75" customHeight="1">
      <c r="A132" s="41" t="s">
        <v>30</v>
      </c>
      <c r="B132" s="33"/>
      <c r="C132" s="99"/>
      <c r="D132" s="92"/>
      <c r="E132" s="92"/>
      <c r="F132" s="14"/>
      <c r="G132" s="86"/>
      <c r="H132" s="138"/>
      <c r="I132" s="14"/>
    </row>
    <row r="133" spans="1:6" ht="3" customHeight="1">
      <c r="A133" s="41"/>
      <c r="B133" s="33"/>
      <c r="C133" s="99"/>
      <c r="D133" s="92"/>
      <c r="E133" s="92"/>
      <c r="F133" s="14"/>
    </row>
    <row r="134" spans="1:9" ht="12.75" customHeight="1">
      <c r="A134" s="50" t="s">
        <v>88</v>
      </c>
      <c r="B134" s="5">
        <v>2003</v>
      </c>
      <c r="C134" s="55" t="s">
        <v>3</v>
      </c>
      <c r="D134" s="11" t="s">
        <v>325</v>
      </c>
      <c r="E134" s="306"/>
      <c r="F134" s="352">
        <v>15.978</v>
      </c>
      <c r="G134" s="89"/>
      <c r="H134" s="355">
        <f>47.64*1000/6.588</f>
        <v>7231.329690346084</v>
      </c>
      <c r="I134" s="350">
        <f>$H134/$F134</f>
        <v>452.5804037017201</v>
      </c>
    </row>
    <row r="135" spans="1:9" ht="12.75" customHeight="1">
      <c r="A135" s="50" t="s">
        <v>88</v>
      </c>
      <c r="B135" s="5">
        <v>2003</v>
      </c>
      <c r="C135" s="55" t="s">
        <v>9</v>
      </c>
      <c r="D135" s="11" t="s">
        <v>332</v>
      </c>
      <c r="E135" s="307"/>
      <c r="F135" s="340"/>
      <c r="G135" s="89"/>
      <c r="H135" s="355"/>
      <c r="I135" s="350"/>
    </row>
    <row r="136" spans="1:9" ht="12.75" customHeight="1">
      <c r="A136" s="50" t="s">
        <v>88</v>
      </c>
      <c r="B136" s="5">
        <v>2003</v>
      </c>
      <c r="C136" s="55" t="s">
        <v>467</v>
      </c>
      <c r="D136" s="11" t="s">
        <v>366</v>
      </c>
      <c r="E136" s="307"/>
      <c r="F136" s="340"/>
      <c r="G136" s="89"/>
      <c r="H136" s="355"/>
      <c r="I136" s="350"/>
    </row>
    <row r="137" spans="1:9" ht="12.75" customHeight="1">
      <c r="A137" s="50" t="s">
        <v>88</v>
      </c>
      <c r="B137" s="5">
        <v>2003</v>
      </c>
      <c r="C137" s="55" t="s">
        <v>467</v>
      </c>
      <c r="D137" s="11" t="s">
        <v>313</v>
      </c>
      <c r="E137" s="307"/>
      <c r="F137" s="340"/>
      <c r="G137" s="89"/>
      <c r="H137" s="355"/>
      <c r="I137" s="350"/>
    </row>
    <row r="138" spans="1:9" ht="12.75" customHeight="1">
      <c r="A138" s="50" t="s">
        <v>88</v>
      </c>
      <c r="B138" s="5">
        <v>2003</v>
      </c>
      <c r="C138" s="55" t="s">
        <v>7</v>
      </c>
      <c r="D138" s="11" t="s">
        <v>375</v>
      </c>
      <c r="E138" s="307"/>
      <c r="F138" s="340"/>
      <c r="G138" s="89"/>
      <c r="H138" s="355"/>
      <c r="I138" s="350"/>
    </row>
    <row r="139" spans="1:9" ht="12.75" customHeight="1">
      <c r="A139" s="50" t="s">
        <v>88</v>
      </c>
      <c r="B139" s="5">
        <v>2003</v>
      </c>
      <c r="C139" s="3" t="s">
        <v>284</v>
      </c>
      <c r="E139" s="244"/>
      <c r="F139" s="352"/>
      <c r="G139" s="89"/>
      <c r="H139" s="355"/>
      <c r="I139" s="350"/>
    </row>
    <row r="140" spans="1:9" ht="3" customHeight="1">
      <c r="A140" s="212"/>
      <c r="B140" s="157"/>
      <c r="C140" s="174"/>
      <c r="D140" s="175"/>
      <c r="E140" s="165"/>
      <c r="F140" s="198"/>
      <c r="G140" s="205"/>
      <c r="H140" s="216"/>
      <c r="I140" s="195"/>
    </row>
    <row r="141" spans="1:9" ht="12.75" customHeight="1">
      <c r="A141" s="50" t="s">
        <v>88</v>
      </c>
      <c r="B141" s="5">
        <v>2003</v>
      </c>
      <c r="C141" s="55"/>
      <c r="D141" s="11" t="s">
        <v>482</v>
      </c>
      <c r="E141" s="10"/>
      <c r="F141" s="42">
        <v>11.91</v>
      </c>
      <c r="G141" s="89"/>
      <c r="H141" s="133">
        <f>11.827*1000/6.588</f>
        <v>1795.2337583485125</v>
      </c>
      <c r="I141" s="74">
        <f>$H141/$F141</f>
        <v>150.7333130435359</v>
      </c>
    </row>
    <row r="142" spans="1:9" ht="12.75" customHeight="1">
      <c r="A142" s="50"/>
      <c r="C142" s="55"/>
      <c r="D142" s="34"/>
      <c r="E142" s="39"/>
      <c r="F142" s="42"/>
      <c r="G142" s="89"/>
      <c r="H142" s="133"/>
      <c r="I142" s="74"/>
    </row>
    <row r="143" spans="1:9" ht="12.75" customHeight="1">
      <c r="A143" s="50" t="s">
        <v>88</v>
      </c>
      <c r="B143" s="5">
        <v>2004</v>
      </c>
      <c r="C143" s="55" t="s">
        <v>3</v>
      </c>
      <c r="D143" s="11" t="s">
        <v>325</v>
      </c>
      <c r="E143" s="306"/>
      <c r="F143" s="352">
        <v>10.7</v>
      </c>
      <c r="G143" s="89"/>
      <c r="H143" s="355">
        <f>34.202*1000/5.991</f>
        <v>5708.89667835086</v>
      </c>
      <c r="I143" s="350">
        <f>$H143/$F143</f>
        <v>533.5417456402673</v>
      </c>
    </row>
    <row r="144" spans="1:9" ht="12.75" customHeight="1">
      <c r="A144" s="50" t="s">
        <v>88</v>
      </c>
      <c r="B144" s="5">
        <v>2004</v>
      </c>
      <c r="C144" s="55" t="s">
        <v>9</v>
      </c>
      <c r="D144" s="11" t="s">
        <v>332</v>
      </c>
      <c r="E144" s="307"/>
      <c r="F144" s="340"/>
      <c r="G144" s="89"/>
      <c r="H144" s="355"/>
      <c r="I144" s="350"/>
    </row>
    <row r="145" spans="1:9" ht="12.75" customHeight="1">
      <c r="A145" s="50" t="s">
        <v>88</v>
      </c>
      <c r="B145" s="5">
        <v>2004</v>
      </c>
      <c r="C145" s="55" t="s">
        <v>467</v>
      </c>
      <c r="D145" s="11" t="s">
        <v>366</v>
      </c>
      <c r="E145" s="307"/>
      <c r="F145" s="340"/>
      <c r="G145" s="89"/>
      <c r="H145" s="355"/>
      <c r="I145" s="350"/>
    </row>
    <row r="146" spans="1:9" ht="12.75" customHeight="1">
      <c r="A146" s="50" t="s">
        <v>88</v>
      </c>
      <c r="B146" s="5">
        <v>2004</v>
      </c>
      <c r="C146" s="55" t="s">
        <v>467</v>
      </c>
      <c r="D146" s="11" t="s">
        <v>313</v>
      </c>
      <c r="E146" s="307"/>
      <c r="F146" s="340"/>
      <c r="G146" s="89"/>
      <c r="H146" s="355"/>
      <c r="I146" s="350"/>
    </row>
    <row r="147" spans="1:9" ht="12.75" customHeight="1">
      <c r="A147" s="50" t="s">
        <v>88</v>
      </c>
      <c r="B147" s="5">
        <v>2004</v>
      </c>
      <c r="C147" s="55" t="s">
        <v>7</v>
      </c>
      <c r="D147" s="11" t="s">
        <v>375</v>
      </c>
      <c r="E147" s="307"/>
      <c r="F147" s="340"/>
      <c r="G147" s="89"/>
      <c r="H147" s="355"/>
      <c r="I147" s="350"/>
    </row>
    <row r="148" spans="1:9" ht="12.75" customHeight="1">
      <c r="A148" s="50" t="s">
        <v>88</v>
      </c>
      <c r="B148" s="5">
        <v>2004</v>
      </c>
      <c r="C148" s="3" t="s">
        <v>284</v>
      </c>
      <c r="E148" s="244"/>
      <c r="F148" s="352"/>
      <c r="G148" s="89"/>
      <c r="H148" s="355"/>
      <c r="I148" s="350"/>
    </row>
    <row r="149" spans="1:9" ht="3" customHeight="1">
      <c r="A149" s="212"/>
      <c r="B149" s="157"/>
      <c r="C149" s="174"/>
      <c r="D149" s="175"/>
      <c r="E149" s="165"/>
      <c r="F149" s="198"/>
      <c r="G149" s="205"/>
      <c r="H149" s="216"/>
      <c r="I149" s="195"/>
    </row>
    <row r="150" spans="1:9" ht="12.75" customHeight="1">
      <c r="A150" s="50" t="s">
        <v>88</v>
      </c>
      <c r="B150" s="5">
        <v>2004</v>
      </c>
      <c r="C150" s="55"/>
      <c r="D150" s="11" t="s">
        <v>482</v>
      </c>
      <c r="E150" s="10"/>
      <c r="F150" s="42">
        <v>8.411</v>
      </c>
      <c r="G150" s="89"/>
      <c r="H150" s="133">
        <f>16.092*1000/5.991</f>
        <v>2686.029043565348</v>
      </c>
      <c r="I150" s="74">
        <f>$H150/$F150</f>
        <v>319.3471696071035</v>
      </c>
    </row>
    <row r="151" spans="1:9" ht="12.75" customHeight="1">
      <c r="A151" s="50"/>
      <c r="C151" s="55"/>
      <c r="E151" s="10"/>
      <c r="F151" s="42"/>
      <c r="G151" s="89"/>
      <c r="H151" s="133"/>
      <c r="I151" s="74"/>
    </row>
    <row r="152" spans="1:9" ht="12.75" customHeight="1">
      <c r="A152" s="50" t="s">
        <v>83</v>
      </c>
      <c r="B152" s="5">
        <v>2004</v>
      </c>
      <c r="C152" s="22">
        <v>4412.13</v>
      </c>
      <c r="D152" s="8" t="s">
        <v>42</v>
      </c>
      <c r="E152" s="1"/>
      <c r="F152" s="14">
        <v>0</v>
      </c>
      <c r="G152" s="86" t="s">
        <v>10</v>
      </c>
      <c r="H152" s="139" t="s">
        <v>71</v>
      </c>
      <c r="I152" s="257" t="s">
        <v>71</v>
      </c>
    </row>
    <row r="153" spans="1:6" ht="12.75" customHeight="1">
      <c r="A153" s="50"/>
      <c r="C153" s="72"/>
      <c r="D153" s="92"/>
      <c r="E153" s="92"/>
      <c r="F153" s="14"/>
    </row>
    <row r="154" spans="1:9" ht="12.75" customHeight="1">
      <c r="A154" s="48" t="s">
        <v>87</v>
      </c>
      <c r="B154" s="22">
        <v>2003</v>
      </c>
      <c r="C154" s="55" t="s">
        <v>14</v>
      </c>
      <c r="D154" s="10" t="s">
        <v>345</v>
      </c>
      <c r="E154" s="252"/>
      <c r="F154" s="345">
        <v>94.6715</v>
      </c>
      <c r="G154" s="100"/>
      <c r="H154" s="354">
        <f>93027/0.88603</f>
        <v>104993.05892577</v>
      </c>
      <c r="I154" s="349">
        <f>$H154/$F154</f>
        <v>1109.0249856162627</v>
      </c>
    </row>
    <row r="155" spans="1:9" s="8" customFormat="1" ht="12.75" customHeight="1">
      <c r="A155" s="48" t="s">
        <v>87</v>
      </c>
      <c r="B155" s="22">
        <v>2003</v>
      </c>
      <c r="C155" s="55" t="s">
        <v>467</v>
      </c>
      <c r="D155" s="10" t="s">
        <v>315</v>
      </c>
      <c r="E155" s="253"/>
      <c r="F155" s="345"/>
      <c r="G155" s="100"/>
      <c r="H155" s="355">
        <v>1160.699</v>
      </c>
      <c r="I155" s="350" t="e">
        <f>$H155/$F155</f>
        <v>#DIV/0!</v>
      </c>
    </row>
    <row r="156" spans="1:9" s="8" customFormat="1" ht="12.75" customHeight="1">
      <c r="A156" s="48" t="s">
        <v>87</v>
      </c>
      <c r="B156" s="22">
        <v>2003</v>
      </c>
      <c r="C156" s="55" t="s">
        <v>467</v>
      </c>
      <c r="D156" s="10" t="s">
        <v>354</v>
      </c>
      <c r="E156" s="254"/>
      <c r="F156" s="345"/>
      <c r="G156" s="100"/>
      <c r="H156" s="355">
        <v>1160.699</v>
      </c>
      <c r="I156" s="350" t="e">
        <f>$H156/$F156</f>
        <v>#DIV/0!</v>
      </c>
    </row>
    <row r="157" spans="1:9" s="165" customFormat="1" ht="3" customHeight="1">
      <c r="A157" s="217"/>
      <c r="B157" s="166"/>
      <c r="C157" s="185"/>
      <c r="E157" s="180"/>
      <c r="F157" s="189"/>
      <c r="G157" s="209"/>
      <c r="H157" s="216"/>
      <c r="I157" s="195"/>
    </row>
    <row r="158" spans="1:9" s="8" customFormat="1" ht="12.75" customHeight="1">
      <c r="A158" s="48" t="s">
        <v>87</v>
      </c>
      <c r="B158" s="22">
        <v>2003</v>
      </c>
      <c r="C158" s="22"/>
      <c r="D158" s="25" t="s">
        <v>482</v>
      </c>
      <c r="E158" s="25"/>
      <c r="F158" s="19">
        <v>14.211274</v>
      </c>
      <c r="G158" s="83"/>
      <c r="H158" s="126">
        <f>13258/0.88603</f>
        <v>14963.375957924676</v>
      </c>
      <c r="I158" s="21">
        <f>$H158/$F158</f>
        <v>1052.922908806394</v>
      </c>
    </row>
    <row r="159" spans="1:9" s="24" customFormat="1" ht="12.75" customHeight="1">
      <c r="A159" s="50"/>
      <c r="B159" s="5"/>
      <c r="F159" s="26"/>
      <c r="G159" s="87"/>
      <c r="H159" s="128"/>
      <c r="I159" s="26"/>
    </row>
    <row r="160" spans="1:9" s="24" customFormat="1" ht="12.75" customHeight="1">
      <c r="A160" s="48" t="s">
        <v>87</v>
      </c>
      <c r="B160" s="22">
        <v>2004</v>
      </c>
      <c r="C160" s="55" t="s">
        <v>14</v>
      </c>
      <c r="D160" s="10" t="s">
        <v>345</v>
      </c>
      <c r="E160" s="252"/>
      <c r="F160" s="345">
        <v>93.15922</v>
      </c>
      <c r="G160" s="100"/>
      <c r="H160" s="354">
        <f>95950/0.80537</f>
        <v>119137.7876007301</v>
      </c>
      <c r="I160" s="349">
        <f>$H160/$F160</f>
        <v>1278.8620128069995</v>
      </c>
    </row>
    <row r="161" spans="1:9" s="8" customFormat="1" ht="12.75" customHeight="1">
      <c r="A161" s="48" t="s">
        <v>87</v>
      </c>
      <c r="B161" s="22">
        <v>2004</v>
      </c>
      <c r="C161" s="55" t="s">
        <v>467</v>
      </c>
      <c r="D161" s="10" t="s">
        <v>315</v>
      </c>
      <c r="E161" s="253"/>
      <c r="F161" s="345"/>
      <c r="G161" s="100"/>
      <c r="H161" s="355">
        <v>1160.699</v>
      </c>
      <c r="I161" s="350" t="e">
        <f>$H161/$F161</f>
        <v>#DIV/0!</v>
      </c>
    </row>
    <row r="162" spans="1:9" s="8" customFormat="1" ht="12.75" customHeight="1">
      <c r="A162" s="48" t="s">
        <v>87</v>
      </c>
      <c r="B162" s="22">
        <v>2004</v>
      </c>
      <c r="C162" s="55" t="s">
        <v>467</v>
      </c>
      <c r="D162" s="10" t="s">
        <v>354</v>
      </c>
      <c r="E162" s="254"/>
      <c r="F162" s="345"/>
      <c r="G162" s="100"/>
      <c r="H162" s="355">
        <v>1160.699</v>
      </c>
      <c r="I162" s="350" t="e">
        <f>$H162/$F162</f>
        <v>#DIV/0!</v>
      </c>
    </row>
    <row r="163" spans="1:9" s="165" customFormat="1" ht="3" customHeight="1">
      <c r="A163" s="217"/>
      <c r="B163" s="166"/>
      <c r="C163" s="185"/>
      <c r="E163" s="180"/>
      <c r="F163" s="189"/>
      <c r="G163" s="209"/>
      <c r="H163" s="216"/>
      <c r="I163" s="195"/>
    </row>
    <row r="164" spans="1:9" s="8" customFormat="1" ht="12.75" customHeight="1">
      <c r="A164" s="48" t="s">
        <v>87</v>
      </c>
      <c r="B164" s="22">
        <v>2004</v>
      </c>
      <c r="C164" s="22"/>
      <c r="D164" s="25" t="s">
        <v>482</v>
      </c>
      <c r="E164" s="25"/>
      <c r="F164" s="19">
        <v>13.545224</v>
      </c>
      <c r="G164" s="83"/>
      <c r="H164" s="126">
        <f>12594/0.80537</f>
        <v>15637.533059339185</v>
      </c>
      <c r="I164" s="21">
        <f>$H164/$F164</f>
        <v>1154.4683985542938</v>
      </c>
    </row>
    <row r="165" spans="1:10" s="24" customFormat="1" ht="12.75" customHeight="1">
      <c r="A165" s="71"/>
      <c r="B165" s="22"/>
      <c r="F165" s="26"/>
      <c r="G165" s="87"/>
      <c r="H165" s="128"/>
      <c r="I165" s="26"/>
      <c r="J165" s="8"/>
    </row>
    <row r="166" spans="1:10" s="24" customFormat="1" ht="12.75" customHeight="1">
      <c r="A166" s="50" t="s">
        <v>534</v>
      </c>
      <c r="B166" s="5">
        <v>2003</v>
      </c>
      <c r="C166" s="5">
        <v>4412.13</v>
      </c>
      <c r="D166" s="24" t="s">
        <v>42</v>
      </c>
      <c r="F166" s="26">
        <v>0.275</v>
      </c>
      <c r="G166" s="87" t="s">
        <v>10</v>
      </c>
      <c r="H166" s="126">
        <f>41.97/0.88603</f>
        <v>47.36859925736149</v>
      </c>
      <c r="I166" s="26">
        <f>$H166/$F166</f>
        <v>172.24945184495084</v>
      </c>
      <c r="J166" s="8"/>
    </row>
    <row r="167" spans="1:9" s="24" customFormat="1" ht="12.75" customHeight="1">
      <c r="A167" s="50"/>
      <c r="B167" s="5"/>
      <c r="F167" s="26"/>
      <c r="G167" s="87"/>
      <c r="H167" s="128"/>
      <c r="I167" s="26"/>
    </row>
    <row r="168" spans="1:9" s="24" customFormat="1" ht="12.75" customHeight="1">
      <c r="A168" s="50" t="s">
        <v>534</v>
      </c>
      <c r="B168" s="5">
        <v>2004</v>
      </c>
      <c r="C168" s="5">
        <v>4412.13</v>
      </c>
      <c r="D168" s="24" t="s">
        <v>42</v>
      </c>
      <c r="F168" s="26">
        <v>0.016</v>
      </c>
      <c r="G168" s="87" t="s">
        <v>10</v>
      </c>
      <c r="H168" s="126">
        <f>1.84/0.80537</f>
        <v>2.2846641916137926</v>
      </c>
      <c r="I168" s="26">
        <f>$H168/$F168</f>
        <v>142.79151197586205</v>
      </c>
    </row>
    <row r="169" spans="1:9" s="24" customFormat="1" ht="12.75" customHeight="1">
      <c r="A169" s="50"/>
      <c r="B169" s="5"/>
      <c r="F169" s="26"/>
      <c r="G169" s="88"/>
      <c r="H169" s="128"/>
      <c r="I169" s="26"/>
    </row>
    <row r="170" spans="1:9" ht="12.75" customHeight="1">
      <c r="A170" s="50" t="s">
        <v>78</v>
      </c>
      <c r="B170" s="5">
        <v>2003</v>
      </c>
      <c r="C170" s="37"/>
      <c r="D170" s="34" t="s">
        <v>482</v>
      </c>
      <c r="E170" s="34"/>
      <c r="F170" s="35">
        <v>16.5</v>
      </c>
      <c r="H170" s="126">
        <f>9955/0.88603</f>
        <v>11235.511212938614</v>
      </c>
      <c r="I170" s="47">
        <f>$H170/$F170</f>
        <v>680.9400735114311</v>
      </c>
    </row>
    <row r="171" spans="1:5" ht="12.75" customHeight="1">
      <c r="A171" s="50"/>
      <c r="C171" s="37"/>
      <c r="D171" s="34"/>
      <c r="E171" s="34"/>
    </row>
    <row r="172" spans="1:9" ht="12.75" customHeight="1">
      <c r="A172" s="48" t="s">
        <v>78</v>
      </c>
      <c r="B172" s="22">
        <v>2004</v>
      </c>
      <c r="C172" s="25"/>
      <c r="D172" s="25" t="s">
        <v>482</v>
      </c>
      <c r="E172" s="25"/>
      <c r="F172" s="21">
        <v>21</v>
      </c>
      <c r="G172" s="83"/>
      <c r="H172" s="126">
        <f>15611/0.80537</f>
        <v>19383.637334392886</v>
      </c>
      <c r="I172" s="47">
        <f>$H172/$F172</f>
        <v>923.0303492568041</v>
      </c>
    </row>
    <row r="173" spans="1:5" ht="12.75" customHeight="1">
      <c r="A173" s="50"/>
      <c r="C173" s="37"/>
      <c r="D173" s="34"/>
      <c r="E173" s="34"/>
    </row>
    <row r="174" spans="1:9" ht="12.75" customHeight="1">
      <c r="A174" s="48" t="s">
        <v>251</v>
      </c>
      <c r="B174" s="22">
        <v>2003</v>
      </c>
      <c r="C174" s="55" t="s">
        <v>282</v>
      </c>
      <c r="D174" s="10" t="s">
        <v>365</v>
      </c>
      <c r="E174" s="252"/>
      <c r="F174" s="366">
        <v>0</v>
      </c>
      <c r="G174" s="368" t="s">
        <v>10</v>
      </c>
      <c r="H174" s="362" t="s">
        <v>71</v>
      </c>
      <c r="I174" s="364" t="s">
        <v>71</v>
      </c>
    </row>
    <row r="175" spans="1:9" s="24" customFormat="1" ht="12.75" customHeight="1">
      <c r="A175" s="48" t="s">
        <v>251</v>
      </c>
      <c r="B175" s="22">
        <v>2003</v>
      </c>
      <c r="C175" s="55" t="s">
        <v>280</v>
      </c>
      <c r="D175" s="10" t="s">
        <v>378</v>
      </c>
      <c r="E175" s="253"/>
      <c r="F175" s="366"/>
      <c r="G175" s="368"/>
      <c r="H175" s="363"/>
      <c r="I175" s="365"/>
    </row>
    <row r="176" spans="1:9" s="24" customFormat="1" ht="12.75" customHeight="1">
      <c r="A176" s="48" t="s">
        <v>251</v>
      </c>
      <c r="B176" s="22">
        <v>2003</v>
      </c>
      <c r="C176" s="55" t="s">
        <v>281</v>
      </c>
      <c r="D176" s="10" t="s">
        <v>379</v>
      </c>
      <c r="E176" s="253"/>
      <c r="F176" s="366"/>
      <c r="G176" s="368"/>
      <c r="H176" s="363"/>
      <c r="I176" s="365"/>
    </row>
    <row r="177" spans="1:9" s="24" customFormat="1" ht="12.75" customHeight="1">
      <c r="A177" s="48" t="s">
        <v>251</v>
      </c>
      <c r="B177" s="22">
        <v>2003</v>
      </c>
      <c r="C177" s="55" t="s">
        <v>720</v>
      </c>
      <c r="D177" s="75" t="s">
        <v>373</v>
      </c>
      <c r="E177" s="253"/>
      <c r="F177" s="366"/>
      <c r="G177" s="368"/>
      <c r="H177" s="363"/>
      <c r="I177" s="365"/>
    </row>
    <row r="178" spans="1:9" s="24" customFormat="1" ht="12.75" customHeight="1">
      <c r="A178" s="48" t="s">
        <v>251</v>
      </c>
      <c r="B178" s="22">
        <v>2003</v>
      </c>
      <c r="C178" s="55" t="s">
        <v>479</v>
      </c>
      <c r="D178" s="75" t="s">
        <v>374</v>
      </c>
      <c r="E178" s="253"/>
      <c r="F178" s="366"/>
      <c r="G178" s="368"/>
      <c r="H178" s="363"/>
      <c r="I178" s="365"/>
    </row>
    <row r="179" spans="1:9" s="24" customFormat="1" ht="12.75" customHeight="1">
      <c r="A179" s="48" t="s">
        <v>251</v>
      </c>
      <c r="B179" s="22">
        <v>2003</v>
      </c>
      <c r="C179" s="55" t="s">
        <v>15</v>
      </c>
      <c r="D179" s="75" t="s">
        <v>312</v>
      </c>
      <c r="E179" s="243"/>
      <c r="F179" s="366"/>
      <c r="G179" s="368"/>
      <c r="H179" s="363"/>
      <c r="I179" s="365"/>
    </row>
    <row r="180" spans="1:9" s="24" customFormat="1" ht="12.75" customHeight="1">
      <c r="A180" s="48" t="s">
        <v>251</v>
      </c>
      <c r="B180" s="22">
        <v>2003</v>
      </c>
      <c r="C180" s="55" t="s">
        <v>467</v>
      </c>
      <c r="D180" s="75" t="s">
        <v>319</v>
      </c>
      <c r="E180" s="243"/>
      <c r="F180" s="366"/>
      <c r="G180" s="368"/>
      <c r="H180" s="363"/>
      <c r="I180" s="365"/>
    </row>
    <row r="181" spans="1:9" s="24" customFormat="1" ht="12.75" customHeight="1">
      <c r="A181" s="48" t="s">
        <v>251</v>
      </c>
      <c r="B181" s="22">
        <v>2003</v>
      </c>
      <c r="C181" s="55" t="s">
        <v>467</v>
      </c>
      <c r="D181" s="75" t="s">
        <v>356</v>
      </c>
      <c r="E181" s="244"/>
      <c r="F181" s="366"/>
      <c r="G181" s="368"/>
      <c r="H181" s="363"/>
      <c r="I181" s="365"/>
    </row>
    <row r="182" spans="1:9" s="24" customFormat="1" ht="3" customHeight="1">
      <c r="A182" s="217"/>
      <c r="B182" s="166"/>
      <c r="C182" s="185"/>
      <c r="D182" s="180"/>
      <c r="E182" s="165"/>
      <c r="F182" s="211"/>
      <c r="G182" s="181"/>
      <c r="H182" s="200"/>
      <c r="I182" s="198"/>
    </row>
    <row r="183" spans="1:9" s="24" customFormat="1" ht="12.75" customHeight="1">
      <c r="A183" s="48" t="s">
        <v>251</v>
      </c>
      <c r="B183" s="22">
        <v>2003</v>
      </c>
      <c r="C183" s="286"/>
      <c r="D183" s="25" t="s">
        <v>482</v>
      </c>
      <c r="E183" s="25"/>
      <c r="F183" s="25">
        <v>0</v>
      </c>
      <c r="G183" s="83" t="s">
        <v>10</v>
      </c>
      <c r="H183" s="125" t="s">
        <v>71</v>
      </c>
      <c r="I183" s="70" t="s">
        <v>71</v>
      </c>
    </row>
    <row r="184" spans="1:8" s="24" customFormat="1" ht="12.75" customHeight="1">
      <c r="A184" s="50"/>
      <c r="B184" s="5"/>
      <c r="G184" s="87"/>
      <c r="H184" s="121"/>
    </row>
    <row r="185" spans="1:8" s="24" customFormat="1" ht="3" customHeight="1">
      <c r="A185" s="50"/>
      <c r="B185" s="5"/>
      <c r="G185" s="87"/>
      <c r="H185" s="121"/>
    </row>
    <row r="186" spans="1:9" s="24" customFormat="1" ht="12.75" customHeight="1">
      <c r="A186" s="48" t="s">
        <v>251</v>
      </c>
      <c r="B186" s="22">
        <v>2004</v>
      </c>
      <c r="C186" s="55" t="s">
        <v>282</v>
      </c>
      <c r="D186" s="10" t="s">
        <v>365</v>
      </c>
      <c r="E186" s="252"/>
      <c r="F186" s="366">
        <v>0</v>
      </c>
      <c r="G186" s="368" t="s">
        <v>10</v>
      </c>
      <c r="H186" s="362" t="s">
        <v>71</v>
      </c>
      <c r="I186" s="364" t="s">
        <v>71</v>
      </c>
    </row>
    <row r="187" spans="1:9" s="24" customFormat="1" ht="12.75" customHeight="1">
      <c r="A187" s="48" t="s">
        <v>251</v>
      </c>
      <c r="B187" s="22">
        <v>2004</v>
      </c>
      <c r="C187" s="55" t="s">
        <v>280</v>
      </c>
      <c r="D187" s="10" t="s">
        <v>378</v>
      </c>
      <c r="E187" s="253"/>
      <c r="F187" s="366"/>
      <c r="G187" s="368"/>
      <c r="H187" s="363"/>
      <c r="I187" s="365"/>
    </row>
    <row r="188" spans="1:9" s="24" customFormat="1" ht="12.75" customHeight="1">
      <c r="A188" s="48" t="s">
        <v>251</v>
      </c>
      <c r="B188" s="22">
        <v>2004</v>
      </c>
      <c r="C188" s="55" t="s">
        <v>281</v>
      </c>
      <c r="D188" s="10" t="s">
        <v>379</v>
      </c>
      <c r="E188" s="253"/>
      <c r="F188" s="366"/>
      <c r="G188" s="368"/>
      <c r="H188" s="363"/>
      <c r="I188" s="365"/>
    </row>
    <row r="189" spans="1:9" s="24" customFormat="1" ht="12.75" customHeight="1">
      <c r="A189" s="48" t="s">
        <v>251</v>
      </c>
      <c r="B189" s="22">
        <v>2004</v>
      </c>
      <c r="C189" s="55" t="s">
        <v>720</v>
      </c>
      <c r="D189" s="75" t="s">
        <v>373</v>
      </c>
      <c r="E189" s="253"/>
      <c r="F189" s="366"/>
      <c r="G189" s="368"/>
      <c r="H189" s="363"/>
      <c r="I189" s="365"/>
    </row>
    <row r="190" spans="1:9" s="24" customFormat="1" ht="12.75" customHeight="1">
      <c r="A190" s="48" t="s">
        <v>251</v>
      </c>
      <c r="B190" s="22">
        <v>2004</v>
      </c>
      <c r="C190" s="55" t="s">
        <v>479</v>
      </c>
      <c r="D190" s="75" t="s">
        <v>374</v>
      </c>
      <c r="E190" s="253"/>
      <c r="F190" s="366"/>
      <c r="G190" s="368"/>
      <c r="H190" s="363"/>
      <c r="I190" s="365"/>
    </row>
    <row r="191" spans="1:9" s="24" customFormat="1" ht="12.75" customHeight="1">
      <c r="A191" s="48" t="s">
        <v>251</v>
      </c>
      <c r="B191" s="22">
        <v>2004</v>
      </c>
      <c r="C191" s="55" t="s">
        <v>15</v>
      </c>
      <c r="D191" s="75" t="s">
        <v>312</v>
      </c>
      <c r="E191" s="243"/>
      <c r="F191" s="366"/>
      <c r="G191" s="368"/>
      <c r="H191" s="363"/>
      <c r="I191" s="365"/>
    </row>
    <row r="192" spans="1:9" s="24" customFormat="1" ht="12.75" customHeight="1">
      <c r="A192" s="48" t="s">
        <v>251</v>
      </c>
      <c r="B192" s="22">
        <v>2004</v>
      </c>
      <c r="C192" s="55" t="s">
        <v>467</v>
      </c>
      <c r="D192" s="75" t="s">
        <v>319</v>
      </c>
      <c r="E192" s="243"/>
      <c r="F192" s="366"/>
      <c r="G192" s="368"/>
      <c r="H192" s="363"/>
      <c r="I192" s="365"/>
    </row>
    <row r="193" spans="1:9" s="24" customFormat="1" ht="12.75" customHeight="1">
      <c r="A193" s="48" t="s">
        <v>251</v>
      </c>
      <c r="B193" s="22">
        <v>2004</v>
      </c>
      <c r="C193" s="55" t="s">
        <v>467</v>
      </c>
      <c r="D193" s="75" t="s">
        <v>356</v>
      </c>
      <c r="E193" s="244"/>
      <c r="F193" s="366"/>
      <c r="G193" s="368"/>
      <c r="H193" s="363"/>
      <c r="I193" s="365"/>
    </row>
    <row r="194" spans="1:9" s="24" customFormat="1" ht="3" customHeight="1">
      <c r="A194" s="217"/>
      <c r="B194" s="166"/>
      <c r="C194" s="185"/>
      <c r="D194" s="180"/>
      <c r="E194" s="165"/>
      <c r="F194" s="211"/>
      <c r="G194" s="181"/>
      <c r="H194" s="200"/>
      <c r="I194" s="198"/>
    </row>
    <row r="195" spans="1:9" s="24" customFormat="1" ht="12.75" customHeight="1">
      <c r="A195" s="48" t="s">
        <v>251</v>
      </c>
      <c r="B195" s="22">
        <v>2004</v>
      </c>
      <c r="C195" s="286"/>
      <c r="D195" s="25" t="s">
        <v>482</v>
      </c>
      <c r="E195" s="25"/>
      <c r="F195" s="25">
        <v>2</v>
      </c>
      <c r="G195" s="83"/>
      <c r="H195" s="126">
        <f>146/0.80537</f>
        <v>181.28313694326832</v>
      </c>
      <c r="I195" s="47">
        <f>$H195/$F195</f>
        <v>90.64156847163416</v>
      </c>
    </row>
    <row r="196" spans="1:9" s="24" customFormat="1" ht="12.75" customHeight="1">
      <c r="A196" s="48"/>
      <c r="B196" s="22"/>
      <c r="C196" s="286"/>
      <c r="D196" s="25"/>
      <c r="E196" s="25"/>
      <c r="F196" s="25"/>
      <c r="G196" s="83"/>
      <c r="H196" s="126"/>
      <c r="I196" s="47"/>
    </row>
    <row r="197" spans="1:9" ht="12.75" customHeight="1">
      <c r="A197" s="50" t="s">
        <v>529</v>
      </c>
      <c r="B197" s="5">
        <v>2003</v>
      </c>
      <c r="C197" s="24" t="s">
        <v>530</v>
      </c>
      <c r="D197" s="24" t="s">
        <v>42</v>
      </c>
      <c r="E197" s="24"/>
      <c r="F197" s="24">
        <v>14</v>
      </c>
      <c r="G197" s="87"/>
      <c r="H197" s="128">
        <f>15800/0.88603</f>
        <v>17832.353306321456</v>
      </c>
      <c r="I197" s="26">
        <f>$H197/$F197</f>
        <v>1273.7395218801041</v>
      </c>
    </row>
    <row r="198" spans="1:9" s="24" customFormat="1" ht="12.75" customHeight="1">
      <c r="A198" s="50" t="s">
        <v>529</v>
      </c>
      <c r="B198" s="5">
        <v>2003</v>
      </c>
      <c r="C198" s="24" t="s">
        <v>84</v>
      </c>
      <c r="F198" s="24">
        <v>2</v>
      </c>
      <c r="G198" s="87"/>
      <c r="H198" s="128">
        <f>4345/0.88603</f>
        <v>4903.8971592384005</v>
      </c>
      <c r="I198" s="26">
        <f>$H198/$F198</f>
        <v>2451.9485796192002</v>
      </c>
    </row>
    <row r="199" spans="1:9" ht="12.75" customHeight="1">
      <c r="A199" s="50"/>
      <c r="C199" s="24"/>
      <c r="D199" s="24"/>
      <c r="E199" s="24"/>
      <c r="F199" s="24"/>
      <c r="G199" s="87"/>
      <c r="H199" s="121"/>
      <c r="I199" s="24"/>
    </row>
    <row r="200" spans="1:9" ht="12.75" customHeight="1">
      <c r="A200" s="50" t="s">
        <v>529</v>
      </c>
      <c r="B200" s="5">
        <v>2004</v>
      </c>
      <c r="C200" s="24" t="s">
        <v>530</v>
      </c>
      <c r="D200" s="24" t="s">
        <v>42</v>
      </c>
      <c r="E200" s="24"/>
      <c r="F200" s="24">
        <v>17</v>
      </c>
      <c r="G200" s="87"/>
      <c r="H200" s="128">
        <f>20971/0.80537</f>
        <v>26038.963457789585</v>
      </c>
      <c r="I200" s="26">
        <f>$H200/$F200</f>
        <v>1531.7037328111521</v>
      </c>
    </row>
    <row r="201" spans="1:9" ht="12.75" customHeight="1">
      <c r="A201" s="50" t="s">
        <v>529</v>
      </c>
      <c r="B201" s="5">
        <v>2004</v>
      </c>
      <c r="C201" s="24" t="s">
        <v>84</v>
      </c>
      <c r="D201" s="1"/>
      <c r="E201" s="24"/>
      <c r="F201" s="24">
        <v>5</v>
      </c>
      <c r="G201" s="87"/>
      <c r="H201" s="128">
        <f>4749/0.80537</f>
        <v>5896.668611942337</v>
      </c>
      <c r="I201" s="26">
        <f>$H201/$F201</f>
        <v>1179.3337223884673</v>
      </c>
    </row>
    <row r="202" spans="1:5" ht="12.75" customHeight="1">
      <c r="A202" s="50"/>
      <c r="C202" s="37"/>
      <c r="D202" s="34"/>
      <c r="E202" s="34"/>
    </row>
    <row r="203" spans="1:9" ht="12.75" customHeight="1">
      <c r="A203" s="1" t="s">
        <v>13</v>
      </c>
      <c r="B203" s="5">
        <v>2003</v>
      </c>
      <c r="D203" s="11" t="s">
        <v>482</v>
      </c>
      <c r="F203" s="35">
        <v>5</v>
      </c>
      <c r="H203" s="138">
        <v>4234</v>
      </c>
      <c r="I203" s="14">
        <f>$H203/$F203</f>
        <v>846.8</v>
      </c>
    </row>
    <row r="204" spans="1:9" ht="12.75" customHeight="1">
      <c r="A204" s="175"/>
      <c r="B204" s="157"/>
      <c r="C204" s="174"/>
      <c r="D204" s="175"/>
      <c r="E204" s="175"/>
      <c r="F204" s="176"/>
      <c r="G204" s="160"/>
      <c r="H204" s="177"/>
      <c r="I204" s="176"/>
    </row>
    <row r="205" spans="1:9" ht="12.75" customHeight="1">
      <c r="A205" s="1" t="s">
        <v>13</v>
      </c>
      <c r="B205" s="5">
        <v>2004</v>
      </c>
      <c r="D205" s="11" t="s">
        <v>482</v>
      </c>
      <c r="F205" s="35">
        <v>3</v>
      </c>
      <c r="H205" s="138">
        <v>3246</v>
      </c>
      <c r="I205" s="14">
        <f>$H205/$F205</f>
        <v>1082</v>
      </c>
    </row>
    <row r="206" ht="12.75" customHeight="1"/>
    <row r="207" spans="1:9" ht="12.75" customHeight="1">
      <c r="A207" s="1" t="s">
        <v>256</v>
      </c>
      <c r="B207" s="5">
        <v>2003</v>
      </c>
      <c r="C207" s="1" t="s">
        <v>270</v>
      </c>
      <c r="D207" s="1" t="s">
        <v>42</v>
      </c>
      <c r="E207" s="1"/>
      <c r="F207" s="14">
        <v>3.591</v>
      </c>
      <c r="H207" s="138">
        <f>2840.449/0.5823</f>
        <v>4877.982139790486</v>
      </c>
      <c r="I207" s="14">
        <f>$H207/$F207</f>
        <v>1358.3910163716196</v>
      </c>
    </row>
    <row r="208" spans="1:9" ht="12.75" customHeight="1">
      <c r="A208" s="1" t="s">
        <v>256</v>
      </c>
      <c r="B208" s="5">
        <v>2003</v>
      </c>
      <c r="C208" s="1" t="s">
        <v>273</v>
      </c>
      <c r="D208" s="1"/>
      <c r="E208" s="1"/>
      <c r="F208" s="14">
        <v>0.188</v>
      </c>
      <c r="G208" s="86" t="s">
        <v>10</v>
      </c>
      <c r="H208" s="138">
        <f>184.929/0.5823</f>
        <v>317.5837197320968</v>
      </c>
      <c r="I208" s="14">
        <f>$H208/$F208</f>
        <v>1689.2751049579617</v>
      </c>
    </row>
    <row r="209" spans="1:9" ht="12.75" customHeight="1">
      <c r="A209" s="1" t="s">
        <v>256</v>
      </c>
      <c r="B209" s="5">
        <v>2003</v>
      </c>
      <c r="C209" s="1" t="s">
        <v>271</v>
      </c>
      <c r="D209" s="1"/>
      <c r="E209" s="1"/>
      <c r="F209" s="14">
        <v>0.01</v>
      </c>
      <c r="G209" s="86" t="s">
        <v>10</v>
      </c>
      <c r="H209" s="138">
        <f>13.5/0.5823</f>
        <v>23.1839258114374</v>
      </c>
      <c r="I209" s="14">
        <f>$H209/$F209</f>
        <v>2318.3925811437402</v>
      </c>
    </row>
    <row r="210" spans="1:9" ht="12.75" customHeight="1">
      <c r="A210" s="1" t="s">
        <v>256</v>
      </c>
      <c r="B210" s="5">
        <v>2003</v>
      </c>
      <c r="C210" s="1" t="s">
        <v>708</v>
      </c>
      <c r="D210" s="1"/>
      <c r="E210" s="1"/>
      <c r="F210" s="14">
        <v>0.002</v>
      </c>
      <c r="G210" s="86" t="s">
        <v>10</v>
      </c>
      <c r="H210" s="138">
        <f>6.202/0.5823</f>
        <v>10.65086725055813</v>
      </c>
      <c r="I210" s="14">
        <f>$H210/$F210</f>
        <v>5325.433625279065</v>
      </c>
    </row>
    <row r="211" spans="1:9" ht="12.75" customHeight="1">
      <c r="A211" s="1" t="s">
        <v>256</v>
      </c>
      <c r="B211" s="5">
        <v>2003</v>
      </c>
      <c r="C211" s="1" t="s">
        <v>274</v>
      </c>
      <c r="D211" s="1"/>
      <c r="E211" s="1"/>
      <c r="F211" s="14">
        <v>0</v>
      </c>
      <c r="G211" s="86" t="s">
        <v>10</v>
      </c>
      <c r="H211" s="138">
        <f>43.056/0.5823</f>
        <v>73.94126738794435</v>
      </c>
      <c r="I211" s="59" t="s">
        <v>71</v>
      </c>
    </row>
    <row r="212" spans="1:9" ht="12.75" customHeight="1">
      <c r="A212" s="1" t="s">
        <v>256</v>
      </c>
      <c r="B212" s="5">
        <v>2003</v>
      </c>
      <c r="C212" s="1" t="s">
        <v>275</v>
      </c>
      <c r="D212" s="1"/>
      <c r="E212" s="1"/>
      <c r="F212" s="14">
        <v>0</v>
      </c>
      <c r="G212" s="86" t="s">
        <v>10</v>
      </c>
      <c r="H212" s="138">
        <f>0.967/0.5823</f>
        <v>1.6606560192340716</v>
      </c>
      <c r="I212" s="59" t="s">
        <v>71</v>
      </c>
    </row>
    <row r="213" ht="12.75" customHeight="1"/>
    <row r="214" spans="1:9" ht="12.75" customHeight="1">
      <c r="A214" s="1" t="s">
        <v>256</v>
      </c>
      <c r="B214" s="5">
        <v>2004</v>
      </c>
      <c r="C214" s="1" t="s">
        <v>273</v>
      </c>
      <c r="D214" s="1" t="s">
        <v>42</v>
      </c>
      <c r="E214" s="1"/>
      <c r="F214" s="14">
        <v>0.247</v>
      </c>
      <c r="G214" s="86" t="s">
        <v>10</v>
      </c>
      <c r="H214" s="138">
        <f>182.464/0.664</f>
        <v>274.79518072289153</v>
      </c>
      <c r="I214" s="14">
        <f>$H214/$F214</f>
        <v>1112.5310960440952</v>
      </c>
    </row>
    <row r="215" spans="1:9" ht="12.75" customHeight="1">
      <c r="A215" s="1" t="s">
        <v>256</v>
      </c>
      <c r="B215" s="5">
        <v>2004</v>
      </c>
      <c r="C215" s="1" t="s">
        <v>271</v>
      </c>
      <c r="D215" s="1"/>
      <c r="E215" s="1"/>
      <c r="F215" s="14">
        <v>0.131</v>
      </c>
      <c r="G215" s="86" t="s">
        <v>10</v>
      </c>
      <c r="H215" s="138">
        <f>112.233/0.664</f>
        <v>169.02560240963854</v>
      </c>
      <c r="I215" s="14">
        <f>$H215/$F215</f>
        <v>1290.271774119378</v>
      </c>
    </row>
    <row r="216" spans="1:9" ht="12.75" customHeight="1">
      <c r="A216" s="1" t="s">
        <v>256</v>
      </c>
      <c r="B216" s="5">
        <v>2004</v>
      </c>
      <c r="C216" s="1" t="s">
        <v>708</v>
      </c>
      <c r="D216" s="1"/>
      <c r="E216" s="1"/>
      <c r="F216" s="14">
        <v>0.005</v>
      </c>
      <c r="G216" s="86" t="s">
        <v>10</v>
      </c>
      <c r="H216" s="138">
        <f>18.461/0.664</f>
        <v>27.80271084337349</v>
      </c>
      <c r="I216" s="14">
        <f>$H216/$F216</f>
        <v>5560.542168674698</v>
      </c>
    </row>
    <row r="217" spans="1:9" ht="12.75" customHeight="1">
      <c r="A217" s="1" t="s">
        <v>256</v>
      </c>
      <c r="B217" s="5">
        <v>2004</v>
      </c>
      <c r="C217" s="1" t="s">
        <v>707</v>
      </c>
      <c r="D217" s="1"/>
      <c r="E217" s="1"/>
      <c r="F217" s="14">
        <v>0.004</v>
      </c>
      <c r="G217" s="86" t="s">
        <v>10</v>
      </c>
      <c r="H217" s="138">
        <f>7.828/0.664</f>
        <v>11.789156626506024</v>
      </c>
      <c r="I217" s="14">
        <f>$H217/$F217</f>
        <v>2947.289156626506</v>
      </c>
    </row>
    <row r="218" spans="1:9" ht="12.75" customHeight="1">
      <c r="A218" s="1" t="s">
        <v>256</v>
      </c>
      <c r="B218" s="5">
        <v>2004</v>
      </c>
      <c r="C218" s="1" t="s">
        <v>270</v>
      </c>
      <c r="D218" s="1"/>
      <c r="E218" s="1"/>
      <c r="F218" s="14">
        <v>0.001</v>
      </c>
      <c r="G218" s="86" t="s">
        <v>10</v>
      </c>
      <c r="H218" s="138">
        <f>1.805/0.664</f>
        <v>2.7183734939759034</v>
      </c>
      <c r="I218" s="14">
        <f>$H218/$F218</f>
        <v>2718.3734939759033</v>
      </c>
    </row>
    <row r="219" spans="1:9" ht="12.75" customHeight="1">
      <c r="A219" s="1" t="s">
        <v>256</v>
      </c>
      <c r="B219" s="5">
        <v>2004</v>
      </c>
      <c r="C219" s="1" t="s">
        <v>274</v>
      </c>
      <c r="D219" s="1"/>
      <c r="E219" s="1"/>
      <c r="F219" s="14">
        <v>0</v>
      </c>
      <c r="G219" s="86" t="s">
        <v>10</v>
      </c>
      <c r="H219" s="138">
        <f>31.817/0.664</f>
        <v>47.91716867469879</v>
      </c>
      <c r="I219" s="59" t="s">
        <v>71</v>
      </c>
    </row>
    <row r="220" spans="1:9" ht="12.75" customHeight="1">
      <c r="A220" s="1" t="s">
        <v>256</v>
      </c>
      <c r="B220" s="5">
        <v>2004</v>
      </c>
      <c r="C220" s="1" t="s">
        <v>275</v>
      </c>
      <c r="D220" s="1"/>
      <c r="E220" s="1"/>
      <c r="F220" s="14">
        <v>0</v>
      </c>
      <c r="G220" s="86" t="s">
        <v>10</v>
      </c>
      <c r="H220" s="138">
        <f>18.156/0.664</f>
        <v>27.3433734939759</v>
      </c>
      <c r="I220" s="59" t="s">
        <v>71</v>
      </c>
    </row>
    <row r="221" ht="12.75" customHeight="1"/>
    <row r="222" spans="1:9" ht="12.75" customHeight="1">
      <c r="A222" s="1" t="s">
        <v>55</v>
      </c>
      <c r="B222" s="5">
        <v>2003</v>
      </c>
      <c r="C222" s="5" t="s">
        <v>62</v>
      </c>
      <c r="D222" s="1" t="s">
        <v>42</v>
      </c>
      <c r="E222" s="1"/>
      <c r="F222" s="14">
        <v>1</v>
      </c>
      <c r="H222" s="138">
        <f>25233/7.0802</f>
        <v>3563.8823762040624</v>
      </c>
      <c r="I222" s="14">
        <f>$H222/$F222</f>
        <v>3563.8823762040624</v>
      </c>
    </row>
    <row r="223" spans="1:9" ht="12.75" customHeight="1">
      <c r="A223" s="1" t="s">
        <v>55</v>
      </c>
      <c r="B223" s="5">
        <v>2003</v>
      </c>
      <c r="C223" s="5" t="s">
        <v>50</v>
      </c>
      <c r="D223" s="1"/>
      <c r="E223" s="1"/>
      <c r="F223" s="14">
        <v>0</v>
      </c>
      <c r="G223" s="86" t="s">
        <v>10</v>
      </c>
      <c r="H223" s="138">
        <f>609/7.0802</f>
        <v>86.01451936385978</v>
      </c>
      <c r="I223" s="59" t="s">
        <v>71</v>
      </c>
    </row>
    <row r="224" spans="1:9" ht="12.75" customHeight="1">
      <c r="A224" s="1" t="s">
        <v>55</v>
      </c>
      <c r="B224" s="5">
        <v>2003</v>
      </c>
      <c r="C224" s="5" t="s">
        <v>63</v>
      </c>
      <c r="D224" s="1"/>
      <c r="E224" s="1"/>
      <c r="F224" s="14">
        <v>0.108</v>
      </c>
      <c r="G224" s="86" t="s">
        <v>10</v>
      </c>
      <c r="H224" s="138">
        <f>647/7.0802</f>
        <v>91.38159938984775</v>
      </c>
      <c r="I224" s="14">
        <f>$H224/$F224</f>
        <v>846.1259202763681</v>
      </c>
    </row>
    <row r="225" ht="12.75" customHeight="1"/>
    <row r="226" spans="1:9" ht="12.75" customHeight="1">
      <c r="A226" s="1" t="s">
        <v>55</v>
      </c>
      <c r="B226" s="5">
        <v>2004</v>
      </c>
      <c r="C226" s="5" t="s">
        <v>62</v>
      </c>
      <c r="D226" s="1" t="s">
        <v>42</v>
      </c>
      <c r="E226" s="1"/>
      <c r="F226" s="14">
        <v>1</v>
      </c>
      <c r="H226" s="138">
        <f>7943/6.7408</f>
        <v>1178.3467837645383</v>
      </c>
      <c r="I226" s="14">
        <f>$H226/$F226</f>
        <v>1178.3467837645383</v>
      </c>
    </row>
    <row r="227" spans="1:9" ht="12.75" customHeight="1">
      <c r="A227" s="1" t="s">
        <v>55</v>
      </c>
      <c r="B227" s="5">
        <v>2004</v>
      </c>
      <c r="C227" s="5" t="s">
        <v>63</v>
      </c>
      <c r="D227" s="1"/>
      <c r="E227" s="1"/>
      <c r="F227" s="14">
        <v>0.171</v>
      </c>
      <c r="G227" s="86" t="s">
        <v>10</v>
      </c>
      <c r="H227" s="138">
        <f>859/6.7408</f>
        <v>127.43294564443389</v>
      </c>
      <c r="I227" s="14">
        <f>$H227/$F227</f>
        <v>745.2219043534145</v>
      </c>
    </row>
    <row r="228" ht="12.75" customHeight="1"/>
    <row r="229" spans="1:9" ht="12.75" customHeight="1">
      <c r="A229" s="1" t="s">
        <v>77</v>
      </c>
      <c r="B229" s="5">
        <v>2003</v>
      </c>
      <c r="C229" s="5" t="s">
        <v>637</v>
      </c>
      <c r="D229" s="1" t="s">
        <v>42</v>
      </c>
      <c r="E229" s="1"/>
      <c r="F229" s="14">
        <v>2</v>
      </c>
      <c r="H229" s="139">
        <v>1075</v>
      </c>
      <c r="I229" s="14">
        <f>$H229/$F229</f>
        <v>537.5</v>
      </c>
    </row>
    <row r="230" spans="1:9" ht="12.75" customHeight="1">
      <c r="A230" s="1" t="s">
        <v>77</v>
      </c>
      <c r="B230" s="5">
        <v>2003</v>
      </c>
      <c r="C230" s="5" t="s">
        <v>634</v>
      </c>
      <c r="D230" s="1"/>
      <c r="E230" s="1"/>
      <c r="F230" s="14">
        <v>0</v>
      </c>
      <c r="G230" s="86" t="s">
        <v>10</v>
      </c>
      <c r="H230" s="138">
        <v>4</v>
      </c>
      <c r="I230" s="59" t="s">
        <v>71</v>
      </c>
    </row>
    <row r="231" spans="1:9" ht="12.75" customHeight="1">
      <c r="A231" s="1" t="s">
        <v>77</v>
      </c>
      <c r="B231" s="5">
        <v>2003</v>
      </c>
      <c r="C231" s="5" t="s">
        <v>635</v>
      </c>
      <c r="D231" s="1"/>
      <c r="E231" s="1"/>
      <c r="F231" s="14">
        <v>0</v>
      </c>
      <c r="G231" s="86" t="s">
        <v>10</v>
      </c>
      <c r="H231" s="139">
        <v>7</v>
      </c>
      <c r="I231" s="59" t="s">
        <v>71</v>
      </c>
    </row>
    <row r="232" spans="1:9" ht="12.75" customHeight="1">
      <c r="A232" s="1" t="s">
        <v>77</v>
      </c>
      <c r="B232" s="5">
        <v>2003</v>
      </c>
      <c r="C232" s="5" t="s">
        <v>636</v>
      </c>
      <c r="D232" s="1"/>
      <c r="E232" s="1"/>
      <c r="F232" s="14">
        <v>0</v>
      </c>
      <c r="G232" s="86" t="s">
        <v>10</v>
      </c>
      <c r="H232" s="139">
        <v>2</v>
      </c>
      <c r="I232" s="59" t="s">
        <v>71</v>
      </c>
    </row>
    <row r="233" spans="1:9" ht="12.75" customHeight="1">
      <c r="A233" s="1" t="s">
        <v>77</v>
      </c>
      <c r="B233" s="5">
        <v>2003</v>
      </c>
      <c r="C233" s="5" t="s">
        <v>638</v>
      </c>
      <c r="D233" s="1"/>
      <c r="E233" s="1"/>
      <c r="F233" s="14">
        <v>0</v>
      </c>
      <c r="G233" s="86" t="s">
        <v>10</v>
      </c>
      <c r="H233" s="139">
        <v>64</v>
      </c>
      <c r="I233" s="59" t="s">
        <v>71</v>
      </c>
    </row>
    <row r="234" spans="1:9" ht="12.75" customHeight="1">
      <c r="A234" s="1" t="s">
        <v>77</v>
      </c>
      <c r="B234" s="5">
        <v>2003</v>
      </c>
      <c r="C234" s="1" t="s">
        <v>240</v>
      </c>
      <c r="D234" s="1"/>
      <c r="E234" s="1"/>
      <c r="F234" s="14">
        <v>0</v>
      </c>
      <c r="G234" s="86" t="s">
        <v>10</v>
      </c>
      <c r="H234" s="139">
        <v>305</v>
      </c>
      <c r="I234" s="59" t="s">
        <v>71</v>
      </c>
    </row>
    <row r="235" spans="8:9" ht="12.75" customHeight="1">
      <c r="H235" s="139"/>
      <c r="I235" s="59"/>
    </row>
    <row r="236" spans="1:9" ht="12.75" customHeight="1">
      <c r="A236" s="1" t="s">
        <v>77</v>
      </c>
      <c r="B236" s="5">
        <v>2004</v>
      </c>
      <c r="C236" s="5" t="s">
        <v>637</v>
      </c>
      <c r="D236" s="1" t="s">
        <v>42</v>
      </c>
      <c r="E236" s="1"/>
      <c r="F236" s="14">
        <v>1</v>
      </c>
      <c r="H236" s="139">
        <v>763</v>
      </c>
      <c r="I236" s="14">
        <f>$H236/$F236</f>
        <v>763</v>
      </c>
    </row>
    <row r="237" spans="1:9" ht="12.75" customHeight="1">
      <c r="A237" s="1" t="s">
        <v>77</v>
      </c>
      <c r="B237" s="5">
        <v>2004</v>
      </c>
      <c r="C237" s="5" t="s">
        <v>634</v>
      </c>
      <c r="D237" s="1"/>
      <c r="E237" s="1"/>
      <c r="F237" s="14">
        <v>0</v>
      </c>
      <c r="G237" s="86" t="s">
        <v>10</v>
      </c>
      <c r="H237" s="139">
        <v>66</v>
      </c>
      <c r="I237" s="59" t="s">
        <v>71</v>
      </c>
    </row>
    <row r="238" spans="1:9" ht="12.75" customHeight="1">
      <c r="A238" s="1" t="s">
        <v>77</v>
      </c>
      <c r="B238" s="5">
        <v>2004</v>
      </c>
      <c r="C238" s="5" t="s">
        <v>638</v>
      </c>
      <c r="D238" s="1"/>
      <c r="E238" s="1"/>
      <c r="F238" s="14">
        <v>0</v>
      </c>
      <c r="G238" s="86" t="s">
        <v>10</v>
      </c>
      <c r="H238" s="139">
        <v>89</v>
      </c>
      <c r="I238" s="59" t="s">
        <v>71</v>
      </c>
    </row>
    <row r="239" spans="1:9" ht="12.75" customHeight="1">
      <c r="A239" s="1" t="s">
        <v>77</v>
      </c>
      <c r="B239" s="5">
        <v>2004</v>
      </c>
      <c r="C239" s="1" t="s">
        <v>240</v>
      </c>
      <c r="D239" s="1"/>
      <c r="E239" s="1"/>
      <c r="F239" s="14">
        <v>0</v>
      </c>
      <c r="G239" s="86" t="s">
        <v>10</v>
      </c>
      <c r="H239" s="139">
        <v>279</v>
      </c>
      <c r="I239" s="59" t="s">
        <v>71</v>
      </c>
    </row>
    <row r="240" ht="12.75" customHeight="1"/>
    <row r="241" spans="1:9" ht="12.75" customHeight="1">
      <c r="A241" s="1" t="s">
        <v>165</v>
      </c>
      <c r="B241" s="5">
        <v>2003</v>
      </c>
      <c r="C241" s="1" t="s">
        <v>166</v>
      </c>
      <c r="D241" s="1" t="s">
        <v>42</v>
      </c>
      <c r="E241" s="1"/>
      <c r="F241" s="14">
        <v>26.036</v>
      </c>
      <c r="H241" s="138">
        <f>10444.748</f>
        <v>10444.748</v>
      </c>
      <c r="I241" s="14">
        <f>$H241/$F241</f>
        <v>401.16561683822397</v>
      </c>
    </row>
    <row r="242" spans="3:6" ht="12.75" customHeight="1">
      <c r="C242" s="1"/>
      <c r="D242" s="1"/>
      <c r="E242" s="1"/>
      <c r="F242" s="14"/>
    </row>
    <row r="243" spans="1:9" ht="12.75" customHeight="1">
      <c r="A243" s="1" t="s">
        <v>165</v>
      </c>
      <c r="B243" s="5">
        <v>2004</v>
      </c>
      <c r="C243" s="1" t="s">
        <v>166</v>
      </c>
      <c r="D243" s="1" t="s">
        <v>42</v>
      </c>
      <c r="E243" s="1"/>
      <c r="F243" s="14">
        <v>28.68</v>
      </c>
      <c r="H243" s="138">
        <v>10321.804</v>
      </c>
      <c r="I243" s="14">
        <f>$H243/$F243</f>
        <v>359.8955369595537</v>
      </c>
    </row>
  </sheetData>
  <mergeCells count="31">
    <mergeCell ref="H9:H12"/>
    <mergeCell ref="I9:I12"/>
    <mergeCell ref="F9:F12"/>
    <mergeCell ref="F69:F70"/>
    <mergeCell ref="G69:G70"/>
    <mergeCell ref="I69:I70"/>
    <mergeCell ref="H69:H70"/>
    <mergeCell ref="F113:F114"/>
    <mergeCell ref="G113:G114"/>
    <mergeCell ref="H113:H114"/>
    <mergeCell ref="I113:I114"/>
    <mergeCell ref="F134:F139"/>
    <mergeCell ref="H134:H139"/>
    <mergeCell ref="I134:I139"/>
    <mergeCell ref="F143:F148"/>
    <mergeCell ref="H143:H148"/>
    <mergeCell ref="I143:I148"/>
    <mergeCell ref="F174:F181"/>
    <mergeCell ref="G174:G181"/>
    <mergeCell ref="H174:H181"/>
    <mergeCell ref="I174:I181"/>
    <mergeCell ref="F186:F193"/>
    <mergeCell ref="G186:G193"/>
    <mergeCell ref="H186:H193"/>
    <mergeCell ref="I186:I193"/>
    <mergeCell ref="F154:F156"/>
    <mergeCell ref="H154:H156"/>
    <mergeCell ref="I154:I156"/>
    <mergeCell ref="F160:F162"/>
    <mergeCell ref="H160:H162"/>
    <mergeCell ref="I160:I162"/>
  </mergeCells>
  <printOptions horizontalCentered="1"/>
  <pageMargins left="0.5905511811023623" right="0.5905511811023623" top="0.7874015748031497" bottom="0.5905511811023623" header="0.5118110236220472" footer="0.5118110236220472"/>
  <pageSetup fitToHeight="25" horizontalDpi="600" verticalDpi="600" orientation="portrait" paperSize="9" scale="94" r:id="rId3"/>
  <rowBreaks count="2" manualBreakCount="2">
    <brk id="61" max="8" man="1"/>
    <brk id="11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ITTO Statistics</dc:creator>
  <cp:keywords/>
  <dc:description/>
  <cp:lastModifiedBy>rubin</cp:lastModifiedBy>
  <cp:lastPrinted>2006-05-02T12:28:12Z</cp:lastPrinted>
  <dcterms:created xsi:type="dcterms:W3CDTF">2004-11-18T06:07:33Z</dcterms:created>
  <dcterms:modified xsi:type="dcterms:W3CDTF">2006-05-24T11:33:10Z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1220172165</vt:i4>
  </property>
  <property fmtid="{D5CDD505-2E9C-101B-9397-08002B2CF9AE}" pid="3" name="_EmailSubject">
    <vt:lpwstr>App 2, 3,4</vt:lpwstr>
  </property>
  <property fmtid="{D5CDD505-2E9C-101B-9397-08002B2CF9AE}" pid="4" name="_AuthorEmail">
    <vt:lpwstr>itto-stats@itto.or.jp</vt:lpwstr>
  </property>
  <property fmtid="{D5CDD505-2E9C-101B-9397-08002B2CF9AE}" pid="5" name="_AuthorEmailDisplayName">
    <vt:lpwstr>CLAUDON, Jean Christphe</vt:lpwstr>
  </property>
  <property fmtid="{D5CDD505-2E9C-101B-9397-08002B2CF9AE}" pid="6" name="_ReviewingToolsShownOnce">
    <vt:lpwstr/>
  </property>
</Properties>
</file>